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40" windowHeight="11760" firstSheet="7" activeTab="10"/>
  </bookViews>
  <sheets>
    <sheet name="BALANCES 2013-2014" sheetId="1" state="hidden" r:id="rId1"/>
    <sheet name="BALANCES 2015-2014" sheetId="2" state="hidden" r:id="rId2"/>
    <sheet name="BALANCE GENERAL 2014" sheetId="3" state="hidden" r:id="rId3"/>
    <sheet name="BALANCES 2016-2015" sheetId="4" state="hidden" r:id="rId4"/>
    <sheet name="PRESENTACION" sheetId="5" r:id="rId5"/>
    <sheet name="BALANCE GENERAL 2016" sheetId="6" r:id="rId6"/>
    <sheet name="INDICES FINANCIEROS" sheetId="7" r:id="rId7"/>
    <sheet name="IG DICIEMBRE " sheetId="8" r:id="rId8"/>
    <sheet name="EST RESULTADOS" sheetId="9" r:id="rId9"/>
    <sheet name="EST RESULTADOS (2)" sheetId="10" r:id="rId10"/>
    <sheet name="FLUJOS DE EFECTIVO 2015" sheetId="11" r:id="rId11"/>
    <sheet name="ESTADO DE CAMBIOS EN PATRIMONIO" sheetId="12" r:id="rId12"/>
    <sheet name="ESTADO DE CAMBIOS EN LA SITUACI" sheetId="13" state="hidden" r:id="rId13"/>
    <sheet name="PYG AJUSTADO" sheetId="14" state="hidden" r:id="rId14"/>
    <sheet name="FLUJOS DE EFECTIVO" sheetId="15" state="hidden" r:id="rId15"/>
    <sheet name="ESTA CAMBIOS SITUACION FINACIER" sheetId="16" state="hidden" r:id="rId16"/>
    <sheet name="ANALISIS CAP TRABAJO" sheetId="17" state="hidden" r:id="rId17"/>
    <sheet name="CAPITAL DE TRABAJO" sheetId="18" state="hidden" r:id="rId18"/>
    <sheet name="CAPITAL 2015" sheetId="19" state="hidden" r:id="rId19"/>
    <sheet name="AÑO 2013-2012" sheetId="20" state="hidden" r:id="rId20"/>
    <sheet name="Hoja4" sheetId="21" state="hidden" r:id="rId21"/>
    <sheet name="Hoja3" sheetId="22" state="hidden" r:id="rId22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fn.IFERROR" hidden="1">#NAME?</definedName>
    <definedName name="_xlnm.Print_Area" localSheetId="19">'AÑO 2013-2012'!$A$1:$E$103</definedName>
    <definedName name="_xlnm.Print_Area" localSheetId="2">'BALANCE GENERAL 2014'!$A$1:$J$78</definedName>
    <definedName name="_xlnm.Print_Area" localSheetId="5">'BALANCE GENERAL 2016'!$A$1:$L$74</definedName>
    <definedName name="_xlnm.Print_Area" localSheetId="0">'BALANCES 2013-2014'!$A$1:$I$93</definedName>
    <definedName name="_xlnm.Print_Area" localSheetId="1">'BALANCES 2015-2014'!$A$1:$I$93</definedName>
    <definedName name="_xlnm.Print_Area" localSheetId="3">'BALANCES 2016-2015'!$A$1:$M$94</definedName>
    <definedName name="_xlnm.Print_Area" localSheetId="8">'EST RESULTADOS'!$A$1:$J$111</definedName>
    <definedName name="_xlnm.Print_Area" localSheetId="9">'EST RESULTADOS (2)'!$A$1:$J$49</definedName>
    <definedName name="Impacto">'[7]ESFA 01 01 2015'!$B$4:$L$310</definedName>
  </definedNames>
  <calcPr fullCalcOnLoad="1"/>
  <pivotCaches>
    <pivotCache cacheId="1" r:id="rId23"/>
  </pivotCaches>
</workbook>
</file>

<file path=xl/comments8.xml><?xml version="1.0" encoding="utf-8"?>
<comments xmlns="http://schemas.openxmlformats.org/spreadsheetml/2006/main">
  <authors>
    <author>Full name</author>
    <author>JUAN DAVID DURAN MIRANDA</author>
  </authors>
  <commentList>
    <comment ref="F25" authorId="0">
      <text>
        <r>
          <rPr>
            <b/>
            <sz val="9"/>
            <rFont val="Tahoma"/>
            <family val="2"/>
          </rPr>
          <t>Full name:</t>
        </r>
        <r>
          <rPr>
            <sz val="9"/>
            <rFont val="Tahoma"/>
            <family val="2"/>
          </rPr>
          <t xml:space="preserve">
50% TESORERIA; 50%AUX. COMERCIAL; 100% ADMON BODEGA; 50% FIELES PADUA, HERVEO Y PALOCABILDO</t>
        </r>
      </text>
    </comment>
    <comment ref="N42" authorId="0">
      <text>
        <r>
          <rPr>
            <b/>
            <sz val="9"/>
            <rFont val="Tahoma"/>
            <family val="2"/>
          </rPr>
          <t>Full name:</t>
        </r>
        <r>
          <rPr>
            <sz val="9"/>
            <rFont val="Tahoma"/>
            <family val="2"/>
          </rPr>
          <t xml:space="preserve">
En presupuesto solo se tuvo en cuenta la prov de fertilizantes
</t>
        </r>
      </text>
    </comment>
    <comment ref="H94" authorId="0">
      <text>
        <r>
          <rPr>
            <b/>
            <sz val="9"/>
            <rFont val="Tahoma"/>
            <family val="2"/>
          </rPr>
          <t>Full name:</t>
        </r>
        <r>
          <rPr>
            <sz val="9"/>
            <rFont val="Tahoma"/>
            <family val="2"/>
          </rPr>
          <t xml:space="preserve">
margen 2,63%</t>
        </r>
      </text>
    </comment>
    <comment ref="F99" authorId="1">
      <text>
        <r>
          <rPr>
            <b/>
            <sz val="12"/>
            <rFont val="Tahoma"/>
            <family val="2"/>
          </rPr>
          <t>JUAN DAVID DURAN MIRANDA:</t>
        </r>
        <r>
          <rPr>
            <sz val="12"/>
            <rFont val="Tahoma"/>
            <family val="2"/>
          </rPr>
          <t xml:space="preserve">
servicio de Trilla de café Flo</t>
        </r>
      </text>
    </comment>
    <comment ref="F126" authorId="0">
      <text>
        <r>
          <rPr>
            <b/>
            <sz val="9"/>
            <rFont val="Tahoma"/>
            <family val="2"/>
          </rPr>
          <t>Full name:</t>
        </r>
        <r>
          <rPr>
            <sz val="9"/>
            <rFont val="Tahoma"/>
            <family val="2"/>
          </rPr>
          <t xml:space="preserve">
mantenimiento pc fresno, se llevo como diferido una parte a 3 meses 
</t>
        </r>
      </text>
    </comment>
    <comment ref="F130" authorId="0">
      <text>
        <r>
          <rPr>
            <b/>
            <sz val="9"/>
            <rFont val="Tahoma"/>
            <family val="2"/>
          </rPr>
          <t>Full name:</t>
        </r>
        <r>
          <rPr>
            <sz val="9"/>
            <rFont val="Tahoma"/>
            <family val="2"/>
          </rPr>
          <t xml:space="preserve">
CISCO COMPRADO EN FRIAS</t>
        </r>
      </text>
    </comment>
    <comment ref="F139" authorId="0">
      <text>
        <r>
          <rPr>
            <b/>
            <sz val="9"/>
            <rFont val="Tahoma"/>
            <family val="2"/>
          </rPr>
          <t>Full name:</t>
        </r>
        <r>
          <rPr>
            <sz val="9"/>
            <rFont val="Tahoma"/>
            <family val="2"/>
          </rPr>
          <t xml:space="preserve">
FUMIGACION DE CAFÉ
</t>
        </r>
      </text>
    </comment>
    <comment ref="F142" authorId="0">
      <text>
        <r>
          <rPr>
            <b/>
            <sz val="9"/>
            <rFont val="Tahoma"/>
            <family val="2"/>
          </rPr>
          <t>Full name:</t>
        </r>
        <r>
          <rPr>
            <sz val="9"/>
            <rFont val="Tahoma"/>
            <family val="2"/>
          </rPr>
          <t xml:space="preserve">
En este mes solo los gastos de herveo fueron de 4 millones y palocabildo 1,7 millones</t>
        </r>
      </text>
    </comment>
    <comment ref="F152" authorId="0">
      <text>
        <r>
          <rPr>
            <b/>
            <sz val="9"/>
            <rFont val="Tahoma"/>
            <family val="2"/>
          </rPr>
          <t>Full name:</t>
        </r>
        <r>
          <rPr>
            <sz val="9"/>
            <rFont val="Tahoma"/>
            <family val="2"/>
          </rPr>
          <t xml:space="preserve">
Contabilizacion de intereses de cartera corriente de mes de abril e intereses de empleados (credito gerencia)</t>
        </r>
      </text>
    </comment>
    <comment ref="F154" authorId="0">
      <text>
        <r>
          <rPr>
            <b/>
            <sz val="9"/>
            <rFont val="Tahoma"/>
            <family val="2"/>
          </rPr>
          <t>Full name:</t>
        </r>
        <r>
          <rPr>
            <sz val="9"/>
            <rFont val="Tahoma"/>
            <family val="2"/>
          </rPr>
          <t xml:space="preserve">
intereses de expocafe y arrendamiento de bodega padua, Reintegro gastos gestando y 30 mil pagados demás a hostmide</t>
        </r>
      </text>
    </comment>
    <comment ref="F165" authorId="0">
      <text>
        <r>
          <rPr>
            <b/>
            <sz val="9"/>
            <rFont val="Tahoma"/>
            <family val="2"/>
          </rPr>
          <t>Full name:</t>
        </r>
        <r>
          <rPr>
            <sz val="9"/>
            <rFont val="Tahoma"/>
            <family val="2"/>
          </rPr>
          <t xml:space="preserve">
VENTA DEL CISCO A TERCEROS</t>
        </r>
      </text>
    </comment>
    <comment ref="F210" authorId="0">
      <text>
        <r>
          <rPr>
            <b/>
            <sz val="9"/>
            <rFont val="Tahoma"/>
            <family val="2"/>
          </rPr>
          <t>Full name:</t>
        </r>
        <r>
          <rPr>
            <sz val="9"/>
            <rFont val="Tahoma"/>
            <family val="2"/>
          </rPr>
          <t xml:space="preserve">
gastos programa relevo generacional + la compra del archivador de calidades 450000
</t>
        </r>
      </text>
    </comment>
    <comment ref="F260" authorId="0">
      <text>
        <r>
          <rPr>
            <b/>
            <sz val="9"/>
            <rFont val="Tahoma"/>
            <family val="2"/>
          </rPr>
          <t>Full name:</t>
        </r>
        <r>
          <rPr>
            <sz val="9"/>
            <rFont val="Tahoma"/>
            <family val="2"/>
          </rPr>
          <t xml:space="preserve">
debemos tener cuidado en general se bajo casi dos puntos el marguen general. A diciembre se termino con un 11%</t>
        </r>
      </text>
    </comment>
  </commentList>
</comments>
</file>

<file path=xl/sharedStrings.xml><?xml version="1.0" encoding="utf-8"?>
<sst xmlns="http://schemas.openxmlformats.org/spreadsheetml/2006/main" count="1478" uniqueCount="582">
  <si>
    <t>ACTIVO</t>
  </si>
  <si>
    <t>ACTIVO CORRIENTE</t>
  </si>
  <si>
    <t>CAJA</t>
  </si>
  <si>
    <t>BANCOS Y OTRAS ENTIDADES</t>
  </si>
  <si>
    <t>FONDOS ESPECIFICOS</t>
  </si>
  <si>
    <t xml:space="preserve">INVERSIONES </t>
  </si>
  <si>
    <t>BIENES NO TRANSF. POR LA E</t>
  </si>
  <si>
    <t>PROVISION</t>
  </si>
  <si>
    <t>CRED.DE CONSUMO GARANT.ADM</t>
  </si>
  <si>
    <t>PROVISION CREDITOS DE CONS</t>
  </si>
  <si>
    <t>PROVISION GENERAL</t>
  </si>
  <si>
    <t>ANTICIPO DE CONTRATO Y PRO</t>
  </si>
  <si>
    <t>ADELANTOS AL PERSONAL</t>
  </si>
  <si>
    <t>CREDITOS A EMPLEADOS</t>
  </si>
  <si>
    <t>DEUDORES POR VENTA DE BIEN</t>
  </si>
  <si>
    <t>INTERESES</t>
  </si>
  <si>
    <t>INGRESOS POR COBRAR</t>
  </si>
  <si>
    <t>ANTICIPO DE IMPUESTOS</t>
  </si>
  <si>
    <t>OTRAS CUENTAS POR COBRAR</t>
  </si>
  <si>
    <t>PROV. OTRAS CTAS CXC</t>
  </si>
  <si>
    <t>PROV.CXC DE CONSUMO</t>
  </si>
  <si>
    <t>OTRAS PROVISIONES CUENTAS</t>
  </si>
  <si>
    <t>ACTIVO A LARGO PLAZO</t>
  </si>
  <si>
    <t>PROPIEDAD PLANTA Y EQUIPOS</t>
  </si>
  <si>
    <t>TERRENOS</t>
  </si>
  <si>
    <t>EDIFICACIONES</t>
  </si>
  <si>
    <t>MUEBLES Y EQUIPO DE OFICIN</t>
  </si>
  <si>
    <t>EQUIPO MEDICO - CIENTIFICO</t>
  </si>
  <si>
    <t>EQUIPO DE COMPUTACION Y CO</t>
  </si>
  <si>
    <t>MAQUINARIA Y EQUIPO</t>
  </si>
  <si>
    <t>ELEMENTOS DIDACTICOS</t>
  </si>
  <si>
    <t>DEPRECIACION ACUMULADA</t>
  </si>
  <si>
    <t/>
  </si>
  <si>
    <t>OTROS ACTIVOS</t>
  </si>
  <si>
    <t>GASTOS ANTICIPADOS</t>
  </si>
  <si>
    <t>CARGOS DIFERIDOS</t>
  </si>
  <si>
    <t>DEPOSITOS</t>
  </si>
  <si>
    <t>RESPONSABILIDADES PENDIENT</t>
  </si>
  <si>
    <t>OTRAS INVERSIONES</t>
  </si>
  <si>
    <t>VALORIZACIONES</t>
  </si>
  <si>
    <t>PROVISION OTROS ACTIVOS</t>
  </si>
  <si>
    <t>TOTAL ACTIVOS</t>
  </si>
  <si>
    <t>PASIVO</t>
  </si>
  <si>
    <t>PASIVO CORRIENTE</t>
  </si>
  <si>
    <t>CREDITOS ORDINARIOS A CORT</t>
  </si>
  <si>
    <t>COSTOS Y GASTOS POR PAGAR</t>
  </si>
  <si>
    <t>PROVEEDORES</t>
  </si>
  <si>
    <t>RETENCION EN LA FUENTE</t>
  </si>
  <si>
    <t>RETENCIONES Y APORTES DE N</t>
  </si>
  <si>
    <t>REMANENTES POR PAGAR</t>
  </si>
  <si>
    <t>DIVERSAS</t>
  </si>
  <si>
    <t xml:space="preserve">IMPUESTO A LAS VENTAS </t>
  </si>
  <si>
    <t>OTROS</t>
  </si>
  <si>
    <t>FONDO SOCIAL DE EDUCACION</t>
  </si>
  <si>
    <t>FONDO SOCIAL DE SOLIDARIDA</t>
  </si>
  <si>
    <t>FONDO SOCIAL PARA OTROS FI</t>
  </si>
  <si>
    <t>PASIVO A LARGO PLAZO</t>
  </si>
  <si>
    <t>OTROS PASIVOS</t>
  </si>
  <si>
    <t>INGRESOS ANTICIPADOS</t>
  </si>
  <si>
    <t>INGRESOS RECIB.PARA TERCER</t>
  </si>
  <si>
    <t>DIVERSOS</t>
  </si>
  <si>
    <t>OBLIGACIONES LABORALES</t>
  </si>
  <si>
    <t>OTROS PASIVOS ESTIMADOS</t>
  </si>
  <si>
    <t>TOTAL</t>
  </si>
  <si>
    <t>PATRIMONIO</t>
  </si>
  <si>
    <t>APORTES SOCIALES</t>
  </si>
  <si>
    <t>RESERVA PROTECCION APORTES</t>
  </si>
  <si>
    <t>OTRAS RESERVAS</t>
  </si>
  <si>
    <t>FONDO MERCADEO DE PRODUCTO</t>
  </si>
  <si>
    <t>FONDO PARA INFRAESTRUCTURA</t>
  </si>
  <si>
    <t>FONDOS SOCIALES CAPITALIZA</t>
  </si>
  <si>
    <t>OTROS FONDOS</t>
  </si>
  <si>
    <t>AUXILIOS Y DONACIONES</t>
  </si>
  <si>
    <t>EXCEDENTES Y/O PERDIDAS</t>
  </si>
  <si>
    <t>RESULTADOS DEL EJERCICIO</t>
  </si>
  <si>
    <t>TOTAL PATRIMONIO</t>
  </si>
  <si>
    <t>TOTAL PASIVO +PATRIMONIO</t>
  </si>
  <si>
    <t>DISPONIBLE</t>
  </si>
  <si>
    <t>INVENTARIOS</t>
  </si>
  <si>
    <t>CRED. CONS. GTIA ADM SIN LIBRANZA</t>
  </si>
  <si>
    <t>TOTAL ACTIVO CORRIENTE</t>
  </si>
  <si>
    <t>VARIACION</t>
  </si>
  <si>
    <t>%</t>
  </si>
  <si>
    <t>CUENTAS POR COBRAR</t>
  </si>
  <si>
    <t>ACTIVO NO CORRIENTE</t>
  </si>
  <si>
    <t>PROPIEDAD, PLANTA Y EQUIPO</t>
  </si>
  <si>
    <t>DIFERIDOS</t>
  </si>
  <si>
    <t>INVERSIONES</t>
  </si>
  <si>
    <t>RESPONSABILIDADES PENDIENTES</t>
  </si>
  <si>
    <t>PROVISIONES DE OTROS ACTIVOS</t>
  </si>
  <si>
    <t>TOTAL ACTIVO NO CORRIENTE</t>
  </si>
  <si>
    <t>COOPERATIVA DE CAFICULTORES DEL NORTE DEL TOLIMA LTDA</t>
  </si>
  <si>
    <t xml:space="preserve">BALANCE GENERAL COMPARATIVO  </t>
  </si>
  <si>
    <t xml:space="preserve">A DICIEMBRE 31 </t>
  </si>
  <si>
    <t>CRED. ORDINARIOS A CORTO PLAZO</t>
  </si>
  <si>
    <t>CUENTAS POR PAGAR</t>
  </si>
  <si>
    <t>IMPUESTOS, GRAVAMENES Y TASAS</t>
  </si>
  <si>
    <t>FONDOS SOCIALES, MUTUALES Y OTROS</t>
  </si>
  <si>
    <t>OTROS PASIVOS CORRIENTES</t>
  </si>
  <si>
    <t xml:space="preserve">PASIVOS ESTIMADOS </t>
  </si>
  <si>
    <t>INGRESOS REC. PARA TERCEROS</t>
  </si>
  <si>
    <t xml:space="preserve">TOTAL PASIVO </t>
  </si>
  <si>
    <t>CUENTAS DE ORDEN</t>
  </si>
  <si>
    <t>CAPITAL SOCIAL</t>
  </si>
  <si>
    <t>RESERVAS</t>
  </si>
  <si>
    <t>FONDOS DE DESTINACION ESPECIFICA</t>
  </si>
  <si>
    <t>SUPERAVIT</t>
  </si>
  <si>
    <t>RESULTADO DEL EJERCICIO</t>
  </si>
  <si>
    <t>RESULTADO DE EJERCICIOS ANTERIORES</t>
  </si>
  <si>
    <t>TOTAL PASIVO + PATRIMONIO</t>
  </si>
  <si>
    <t>CUENTAS DE ORDEN POR  CONTRA</t>
  </si>
  <si>
    <t>NOTA</t>
  </si>
  <si>
    <t>FIRMADO ORIGINAL</t>
  </si>
  <si>
    <t>CARLOS ARTURO DAVILA VELASQUEZ</t>
  </si>
  <si>
    <t>GERENTE GENERAL</t>
  </si>
  <si>
    <t>JUAN DAVID DURAN MIRANDA</t>
  </si>
  <si>
    <t>CONTADOR PÚBLICO</t>
  </si>
  <si>
    <t>T.P No. 167171 - T</t>
  </si>
  <si>
    <t>CARLOS ARTURO SANCHEZ MOLINA</t>
  </si>
  <si>
    <t>REVISOR FISCAL</t>
  </si>
  <si>
    <t>T.P No. 22118 - T</t>
  </si>
  <si>
    <t>"VER OPINION ADJUNTA"</t>
  </si>
  <si>
    <t xml:space="preserve">Las notas adjuntas son parte integral de los Estados Financieros </t>
  </si>
  <si>
    <t>ESTADO DE RESULTADOS MENSUAL  COOPERATIVA  COMPARATIVO</t>
  </si>
  <si>
    <t>$</t>
  </si>
  <si>
    <t>FERTILIZANTES</t>
  </si>
  <si>
    <t>VENTAS DE FERTILIZANTES</t>
  </si>
  <si>
    <t>FRESNO</t>
  </si>
  <si>
    <t>FRIAS</t>
  </si>
  <si>
    <t>HERVEO</t>
  </si>
  <si>
    <t>PADUA</t>
  </si>
  <si>
    <t>PALOCABILDO</t>
  </si>
  <si>
    <t>(-)</t>
  </si>
  <si>
    <t>COSTO DE VENTAS</t>
  </si>
  <si>
    <t>(=)</t>
  </si>
  <si>
    <t>UTILIDAD OPERACIONAL</t>
  </si>
  <si>
    <t>GASTOS OPERACIONALES</t>
  </si>
  <si>
    <t>SUELDOS</t>
  </si>
  <si>
    <t>HORAS EXTRAS</t>
  </si>
  <si>
    <t>VIATICOS</t>
  </si>
  <si>
    <t>CESANTIAS</t>
  </si>
  <si>
    <t>INTERESES SOBRE CESANTIAS</t>
  </si>
  <si>
    <t>PRIMA DE SERVICIOS</t>
  </si>
  <si>
    <t>VACACIONES</t>
  </si>
  <si>
    <t>PRIMA EXTRALEGAL</t>
  </si>
  <si>
    <t>BONIFICACIONES</t>
  </si>
  <si>
    <t>DOTACION Y SUMINISTROS</t>
  </si>
  <si>
    <t>APORTES A SALUD</t>
  </si>
  <si>
    <t>APORTES A PENSION</t>
  </si>
  <si>
    <t>ARP</t>
  </si>
  <si>
    <t>APORTES A CAJA DE COMPENSACION</t>
  </si>
  <si>
    <t>ICBF</t>
  </si>
  <si>
    <t>SENA</t>
  </si>
  <si>
    <t>PRIMA DE VACACIONES</t>
  </si>
  <si>
    <t>INDUSTRIA Y COMERCIO</t>
  </si>
  <si>
    <t>A LA PROPIEDAD RAIZ</t>
  </si>
  <si>
    <t>4X1000</t>
  </si>
  <si>
    <t>SEGUROS</t>
  </si>
  <si>
    <t>ACUEDUCTO Y ALCANTARILLADO</t>
  </si>
  <si>
    <t>ENERGIA ELECTRICA</t>
  </si>
  <si>
    <t>TELEFONO</t>
  </si>
  <si>
    <t>TRANSPORTE Y FLETES</t>
  </si>
  <si>
    <t>PUBLICIDAD Y PROPAGANDA</t>
  </si>
  <si>
    <t>CARGUE Y DESCARGUE</t>
  </si>
  <si>
    <t>MANTENIMIENTOS</t>
  </si>
  <si>
    <t>REPARACIONES LOCATIVAS</t>
  </si>
  <si>
    <t>GASTOS DE VIAJES</t>
  </si>
  <si>
    <t>DEPRECIACION</t>
  </si>
  <si>
    <t>COMISIONES</t>
  </si>
  <si>
    <t>UTILES, PAPELERIA Y FOTOCOPIAS</t>
  </si>
  <si>
    <t>ELEMENTOS DE ASEO</t>
  </si>
  <si>
    <t>ENVASES Y EMPAQUES</t>
  </si>
  <si>
    <t>INTERNET</t>
  </si>
  <si>
    <t>PROVISIONES</t>
  </si>
  <si>
    <t>ESTUDIO ICA</t>
  </si>
  <si>
    <t>ARRENDAMIENTOS</t>
  </si>
  <si>
    <t xml:space="preserve">(=) </t>
  </si>
  <si>
    <t>UTILIDAD BRUTA</t>
  </si>
  <si>
    <t>(+)</t>
  </si>
  <si>
    <t>OTROS  INGRESOS</t>
  </si>
  <si>
    <t>OTROS GASTOS</t>
  </si>
  <si>
    <t>4*100</t>
  </si>
  <si>
    <t>UTILIDAD NETA</t>
  </si>
  <si>
    <t>CAFÉ</t>
  </si>
  <si>
    <t xml:space="preserve">VENTAS </t>
  </si>
  <si>
    <t>EL TABLAZO</t>
  </si>
  <si>
    <t>DOTACIONES</t>
  </si>
  <si>
    <t>CORREO, PORTES Y TELEGRAMAS</t>
  </si>
  <si>
    <t>GAS</t>
  </si>
  <si>
    <t>MANTENIMIENTO Y REPARACIONES</t>
  </si>
  <si>
    <t>INSTALACIONES ELECTRICAS</t>
  </si>
  <si>
    <t>GASTOS DE VIAJE</t>
  </si>
  <si>
    <t>SECADO DE CAFÉ</t>
  </si>
  <si>
    <t>ELEMENTOS DE ASEO Y CAFETERIA</t>
  </si>
  <si>
    <t xml:space="preserve">OTROS </t>
  </si>
  <si>
    <t>GASTOS BANCARIOS</t>
  </si>
  <si>
    <t>4*1000</t>
  </si>
  <si>
    <t>INTERESES LINEA FINANCIAMIENTO</t>
  </si>
  <si>
    <t>ADMINISTRACION</t>
  </si>
  <si>
    <t>INGRESOS</t>
  </si>
  <si>
    <t xml:space="preserve">CONTRIBUCIONES </t>
  </si>
  <si>
    <t>INTERESES DE CREDITO</t>
  </si>
  <si>
    <t>CUOTAS DE ADMISION Y AFILIACION</t>
  </si>
  <si>
    <t>CONSULTAS CIFIN</t>
  </si>
  <si>
    <t>ISAGEN #41/352</t>
  </si>
  <si>
    <t xml:space="preserve">(-) </t>
  </si>
  <si>
    <t>GASTOS ADMINISTRATIVOS</t>
  </si>
  <si>
    <t>DOTACION</t>
  </si>
  <si>
    <t>BONIFICACION</t>
  </si>
  <si>
    <t>SEGUROS DE VIDA</t>
  </si>
  <si>
    <t>PRIMA TECNICA</t>
  </si>
  <si>
    <t>HONORARIOS</t>
  </si>
  <si>
    <t>CAFETERIA</t>
  </si>
  <si>
    <t>CELULAR</t>
  </si>
  <si>
    <t>UTILES, PAPELERIA</t>
  </si>
  <si>
    <t>FOTOCOPIAS</t>
  </si>
  <si>
    <t>FLETES Y ACARREOS</t>
  </si>
  <si>
    <t>CONTRIBUCIONES Y AFILIACIONES</t>
  </si>
  <si>
    <t>GASTOS ASAMBLEA</t>
  </si>
  <si>
    <t>GASTOS DIRECTIVOS</t>
  </si>
  <si>
    <t>GASTOS LEGALES</t>
  </si>
  <si>
    <t>SISTEMATIZACION</t>
  </si>
  <si>
    <t>VIGILACION PRIVADA</t>
  </si>
  <si>
    <t>SUSCRIPCIONES</t>
  </si>
  <si>
    <t>GASTOS FONDO EDUCACION</t>
  </si>
  <si>
    <t>FONDO SOLIDARIDAD</t>
  </si>
  <si>
    <t>GASTOS VARIOS</t>
  </si>
  <si>
    <t>IMPLEMENTACION NIIF</t>
  </si>
  <si>
    <t>ISAGEN</t>
  </si>
  <si>
    <t>UTILIDAD O PERDIDA ADMINISTRATIVA</t>
  </si>
  <si>
    <t>UTILIDAD O PERDIDA DEL EJERCICIO</t>
  </si>
  <si>
    <t xml:space="preserve">ESTADO DE RESULTADOS COMPARATIVO  </t>
  </si>
  <si>
    <t>COMERCIO AL POR MAYOR Y AL POR MENOR</t>
  </si>
  <si>
    <t>VENTA DE INSUMOS, MAT PRI AGROP Y FLORES</t>
  </si>
  <si>
    <t>COSTOS DE VENTAS</t>
  </si>
  <si>
    <t>COSTOS DE VENTAS Y DE PRESTACION SERVICIOS</t>
  </si>
  <si>
    <t>EXCENDENTE BRUTO EN VENTAS FERTILIZANTES</t>
  </si>
  <si>
    <t>GASTOS DE VENTAS</t>
  </si>
  <si>
    <t>DE PERSONAL</t>
  </si>
  <si>
    <t>GENERALES</t>
  </si>
  <si>
    <t>TOTAL GASTOS DE VENTAS</t>
  </si>
  <si>
    <t xml:space="preserve">GASTOS NO OPERACIONALES </t>
  </si>
  <si>
    <t xml:space="preserve">INGRESOS NO OPERACIONALES </t>
  </si>
  <si>
    <t>EXCEDENTE O PERDIDA OPERACIONAL</t>
  </si>
  <si>
    <t>EXCEDENTE O PERDIDA NO OPERACIONAL</t>
  </si>
  <si>
    <t>EXCEDENTE O PERDIDA DEL EJERCICIO FERTILIZANTES</t>
  </si>
  <si>
    <t>VENTA DE PRODUCTOS AGROPECUARIOS</t>
  </si>
  <si>
    <t>EXCENDENTE BRUTO EN VENTAS CAFÉ</t>
  </si>
  <si>
    <t>EXCEDENTE O PERDIDA DEL EJERCICIO CAFÉ</t>
  </si>
  <si>
    <t>INGRESOS OPERACIONALES</t>
  </si>
  <si>
    <t>INTERESES DE CREDITOS</t>
  </si>
  <si>
    <t>CUOTAS DE ADMISIÓN Y/O AFILIACIÓN</t>
  </si>
  <si>
    <t>TOTAL INGRESOS ADMINISTRATIVOS</t>
  </si>
  <si>
    <t>DEPRECIACIONES</t>
  </si>
  <si>
    <t>COOPERATIVA DE CAFICULTORES DEL NOPRTE DEL TOLIMA LTDA</t>
  </si>
  <si>
    <t>NIT: 890.701.550 - 7</t>
  </si>
  <si>
    <t xml:space="preserve">RELACION DE GASTOS COMPARATIVO  </t>
  </si>
  <si>
    <t xml:space="preserve"> DICIEMBRE 2014- DICIEMBRE 2013</t>
  </si>
  <si>
    <t xml:space="preserve"> </t>
  </si>
  <si>
    <t>CONCEPTO</t>
  </si>
  <si>
    <t>DIFERENCIA</t>
  </si>
  <si>
    <t>GASTOS DE ADMINISTRACION</t>
  </si>
  <si>
    <t>GASTOS DE PERSONAL</t>
  </si>
  <si>
    <t>HORAS EXTRAS Y RECARGOS</t>
  </si>
  <si>
    <t>INTERESES/ CESANTIAS</t>
  </si>
  <si>
    <t>PRIMA LEGAL</t>
  </si>
  <si>
    <t>SEGURO DE VIDA</t>
  </si>
  <si>
    <t>APORTES SALUD</t>
  </si>
  <si>
    <t>APORTES PENSION</t>
  </si>
  <si>
    <t>APORTES ARP</t>
  </si>
  <si>
    <t>APORTES SUBSIDIO FLIAR</t>
  </si>
  <si>
    <t>APORTES I.C.B.F.</t>
  </si>
  <si>
    <t>APORTES SENA</t>
  </si>
  <si>
    <t>,</t>
  </si>
  <si>
    <t>TOTAL GASTOS DE PERSONAL</t>
  </si>
  <si>
    <t>GASTOS GENERALES</t>
  </si>
  <si>
    <t>IMPUESTOS</t>
  </si>
  <si>
    <t>ASEO Y ELEMENTOS</t>
  </si>
  <si>
    <t>SERVICIOS PUBLICOS</t>
  </si>
  <si>
    <t>PORTES, CABLES Y TELEX</t>
  </si>
  <si>
    <t>PAPELERIA Y UTILES DE OF.</t>
  </si>
  <si>
    <t>GASTOS DE ASAMBLEA</t>
  </si>
  <si>
    <t>GASTOS FONDO DE SOLIDARIDAD</t>
  </si>
  <si>
    <t>COMISIONES Y GTOS BANCARIOS</t>
  </si>
  <si>
    <t>ARREGLOS NAVIDEÑOS</t>
  </si>
  <si>
    <t>COMBUSTIBLES Y LUBRICANTES</t>
  </si>
  <si>
    <t>MAT.ELECTRICOS Y ALUMBRADO</t>
  </si>
  <si>
    <t>RESPUESTOS Y ACCESORIOS</t>
  </si>
  <si>
    <t>VIAT.Y GASTOS DE AUDITORIA</t>
  </si>
  <si>
    <t>RETEFUENTE</t>
  </si>
  <si>
    <t>PEAJES</t>
  </si>
  <si>
    <t>DONACIONES</t>
  </si>
  <si>
    <t>EMPASTADA DE LIBROS</t>
  </si>
  <si>
    <t>AGUINALDOS NAVIDEÑOS</t>
  </si>
  <si>
    <t>RECEPCION Y ATENCIONES ESP.</t>
  </si>
  <si>
    <t>PASAJE TERRESTRE</t>
  </si>
  <si>
    <t>TASA DE CONTRIBUCION</t>
  </si>
  <si>
    <t>NORTON ANTIVIRUS</t>
  </si>
  <si>
    <t>REPUESTOS Y ACCESORIOS</t>
  </si>
  <si>
    <t>REINTERGO OLA INVERNAL</t>
  </si>
  <si>
    <t xml:space="preserve">CONTIBUCIONES Y AFILIACIONES </t>
  </si>
  <si>
    <t>T.V. CABLE</t>
  </si>
  <si>
    <t>RETE IVA</t>
  </si>
  <si>
    <t>VIGILACIA PRIVADA</t>
  </si>
  <si>
    <t xml:space="preserve"> EQUIPO DE PROTECCION</t>
  </si>
  <si>
    <t xml:space="preserve"> ELABORACION CARTELERA</t>
  </si>
  <si>
    <t xml:space="preserve"> SEÑALIZACION FLO</t>
  </si>
  <si>
    <t xml:space="preserve"> DIA DEL CAMPESINO</t>
  </si>
  <si>
    <t xml:space="preserve"> REINTEGRO PIC</t>
  </si>
  <si>
    <t>OBSEQUIOS NAVIDEÑOS</t>
  </si>
  <si>
    <t>TRANSACCION EXTRAJUDICIAL</t>
  </si>
  <si>
    <t>FLO-CERT-</t>
  </si>
  <si>
    <t>GASTOS NOTIFICACION PROCESAL</t>
  </si>
  <si>
    <t>BUTACA</t>
  </si>
  <si>
    <t>TOTAL GASTOS GENERALES</t>
  </si>
  <si>
    <t>GRAN TOTAL</t>
  </si>
  <si>
    <t>GASTOS DE FONDO DE EDUCACION</t>
  </si>
  <si>
    <t>TOTAL GASTOS ADMINISTRATIVOS</t>
  </si>
  <si>
    <t>CONTRATOS</t>
  </si>
  <si>
    <t>GASTOS NO OPERACIONALES</t>
  </si>
  <si>
    <t>FINANCIEROS</t>
  </si>
  <si>
    <t>TOTAL GASTOS NO OPERACIONALES</t>
  </si>
  <si>
    <t>EXCEDENTE O PERDIDA DEL EJERCICIO</t>
  </si>
  <si>
    <t>ESTADO DE CAMBIOS EN LA SITUACION FINANCIERA</t>
  </si>
  <si>
    <t>FUENTES DE CAPITAL DE TRABAJO</t>
  </si>
  <si>
    <t>EXCEDENTE (PERDIDA) NETA DEL EJERCICIO</t>
  </si>
  <si>
    <t>GENERACION INTERNA DE RECURSOS</t>
  </si>
  <si>
    <t>FUENTES DE RECURSOS</t>
  </si>
  <si>
    <t>TOTAL FUENTES DE RECURSOS</t>
  </si>
  <si>
    <t>TOTAL RECURSOS ORIGINADOS</t>
  </si>
  <si>
    <t>APLICACIÓN DE RECURSOS</t>
  </si>
  <si>
    <t>TOTAL APLICACIÓN DE RECURSOS</t>
  </si>
  <si>
    <t>VARIACIONES  EN PROPIEDAD, PLANTA Y EQUIPO</t>
  </si>
  <si>
    <t>AUMENTO (DISMUNICION) DEL CAP. DE TRABAJO</t>
  </si>
  <si>
    <t>CAP. DE TRABAJO AL PRINCIPIO DEL AÑO</t>
  </si>
  <si>
    <t>TOTAL CAPITAL NETO DE TRABAJO</t>
  </si>
  <si>
    <t>ANALISIS DE VARIACIÓN EN EL CAPITAL DE TRABAJO</t>
  </si>
  <si>
    <t>AUMENTO (DISMUNICION)</t>
  </si>
  <si>
    <t>EN ACTIVO CORRIENTE</t>
  </si>
  <si>
    <t>INVENTARIOS (NETO)</t>
  </si>
  <si>
    <t>CREDITO DE CONSUMO (NETO)</t>
  </si>
  <si>
    <t>CUENTAS POR COBRAR (NETO)</t>
  </si>
  <si>
    <t>TOTAL AUMENTO/(DISMIN) ACT CORRIENTE</t>
  </si>
  <si>
    <t xml:space="preserve">(AUMENTO) DISMINUCION </t>
  </si>
  <si>
    <t>EN PASIVO CORRIENTE</t>
  </si>
  <si>
    <t>CRED. DE BANCOS Y OBLIGA FINACIERAS</t>
  </si>
  <si>
    <t>IMPUESTOS GRAVAMENES Y TASAS</t>
  </si>
  <si>
    <t>TOTAL (AUMENTOS) DISMIN. EN PAS CORRIENTE</t>
  </si>
  <si>
    <t>AUMENTO/(DISMINUCION) CAPITAL DE TRABAJO</t>
  </si>
  <si>
    <t>ACTIVIDADES DE OPERACIÓN</t>
  </si>
  <si>
    <t>EFECTIVO GENERADO EN OPERACIONES</t>
  </si>
  <si>
    <t>CAMBIOS EN PARTIDAS OPERACIONALES</t>
  </si>
  <si>
    <t>FLUJO DE EFECTIVO NETO EN ACTI  OPERACIÓN</t>
  </si>
  <si>
    <t>ACTIVIDADES DE INVERSION</t>
  </si>
  <si>
    <t>INVERSION</t>
  </si>
  <si>
    <t>COMPRA DE PROPIEDAD, PLANTA Y EQUIPO</t>
  </si>
  <si>
    <t>FLUJO DE EFECTIVO NETO EN ACTI  INVERSION</t>
  </si>
  <si>
    <t>ACTIVIDADES DE FINANCIACION</t>
  </si>
  <si>
    <t>AUMENTO APORTES SOCIALES</t>
  </si>
  <si>
    <t>FLUJO DE EFECTIVO NETO EN ACTI FINANCIACION</t>
  </si>
  <si>
    <t xml:space="preserve"> OBLIGACIONES  FINAN A CORTO PLAZO</t>
  </si>
  <si>
    <t>VARIACION DEL EFECTIVO</t>
  </si>
  <si>
    <t>EFECTIVO A 31-12-2013</t>
  </si>
  <si>
    <t>EFECTIVO A 31-12-2014</t>
  </si>
  <si>
    <t>ESTADO DE FLUJOS DE EFECTIVOS</t>
  </si>
  <si>
    <t>INVERSIONES (CDT)</t>
  </si>
  <si>
    <t>ESTADO DE CAMBIOS EN EL PATRIMONIO</t>
  </si>
  <si>
    <t>CUENTAS DEL PATRIMONIO</t>
  </si>
  <si>
    <t xml:space="preserve">APORTES SOCIALES </t>
  </si>
  <si>
    <t>SUPERAVIT - AUXILIOS Y DONACIONES</t>
  </si>
  <si>
    <t>SPERAVIT - VALORIZACIONES</t>
  </si>
  <si>
    <t>RESULTADOS DE EJERCICIOS ANTERIORES</t>
  </si>
  <si>
    <t>RESULTADO PRESENTE EJERCICIO</t>
  </si>
  <si>
    <t xml:space="preserve">INDICES FINANCIEROS </t>
  </si>
  <si>
    <t xml:space="preserve"> INDICES FINANCIEROS</t>
  </si>
  <si>
    <t>DE LIQUIDEZ</t>
  </si>
  <si>
    <t>RAZON CIRCULANTE</t>
  </si>
  <si>
    <t>PRUEBA ACIDA</t>
  </si>
  <si>
    <t>SOLIDEZ</t>
  </si>
  <si>
    <t>DE ENDUEDAMIENTO</t>
  </si>
  <si>
    <t>ENDEUDAMIENTO</t>
  </si>
  <si>
    <t>INDICE DE PROPIEDAD</t>
  </si>
  <si>
    <t>DE ACTIVIDAD</t>
  </si>
  <si>
    <t>ROTACION DE INVENTARIOS</t>
  </si>
  <si>
    <t>DIAS ROTACION DE INVT</t>
  </si>
  <si>
    <t>ROTACION ACT. CIRCULANTE</t>
  </si>
  <si>
    <t>ROTACION DEL ACTIVO TOTAL</t>
  </si>
  <si>
    <t>DE RENDIMIENTO</t>
  </si>
  <si>
    <t>RENDIMIENTO DEL PATRIMONIO</t>
  </si>
  <si>
    <t>RENDIMIENTO SOBRE ACTIVO TOTAL</t>
  </si>
  <si>
    <t>MARGEN BRUTO(EXCEDENTE)</t>
  </si>
  <si>
    <t>MARGEN OPERACIONAL (EXCEDENTE)</t>
  </si>
  <si>
    <t>MARGEN NETO (EXCEDENTE)</t>
  </si>
  <si>
    <t>FORMULA</t>
  </si>
  <si>
    <t>ACT. CTE/ PAS. CTE</t>
  </si>
  <si>
    <t>(ACT CTE- INV) / PAS CTE</t>
  </si>
  <si>
    <t>ACT. CTE - PAS CTE</t>
  </si>
  <si>
    <t>ACT TOTAL / PAS TOTAL</t>
  </si>
  <si>
    <t>PAS TOTAL / ACT TOTAL</t>
  </si>
  <si>
    <t>PATRIMONIO / ACT TOTAL</t>
  </si>
  <si>
    <t>COSTO VTA / INV PROM</t>
  </si>
  <si>
    <t>INV. PROM / C VTA * 360</t>
  </si>
  <si>
    <t>ING. OPERAC / ACT CTE</t>
  </si>
  <si>
    <t>ING. OPERAC / ACT TOTAL</t>
  </si>
  <si>
    <t>EXCED. EJER/ PAT. *100</t>
  </si>
  <si>
    <t>EXCED. EJER / ACT TOTAL</t>
  </si>
  <si>
    <t>VTAS -CVTAS/ VTAS *100</t>
  </si>
  <si>
    <t>EXCED. OPERA. / VTAS</t>
  </si>
  <si>
    <t>EXCED. NETO / VENTAS</t>
  </si>
  <si>
    <t>SALDO A DIC 31/2015</t>
  </si>
  <si>
    <t>OPERACIÓN 2015</t>
  </si>
  <si>
    <t>USO</t>
  </si>
  <si>
    <t>fuente</t>
  </si>
  <si>
    <t>uso</t>
  </si>
  <si>
    <t xml:space="preserve">VARIACION EN </t>
  </si>
  <si>
    <t>CREDITOS DE CONSUMO</t>
  </si>
  <si>
    <t>OTRAS CXC</t>
  </si>
  <si>
    <t>CREDITOS DE EMPLEADOS</t>
  </si>
  <si>
    <t>FONDOS SOCIALES</t>
  </si>
  <si>
    <t>ESTADO DE CAPITAL DE TRABAJO</t>
  </si>
  <si>
    <t>ORIGEN DE LOS FONDOS</t>
  </si>
  <si>
    <t>TOTAL ORIGEN DE FONDOS</t>
  </si>
  <si>
    <t>APLICACIÓN DE FONDOS</t>
  </si>
  <si>
    <t>PROPIEDAD PLANTA Y EQUIPO</t>
  </si>
  <si>
    <t xml:space="preserve">INVENTARIOS </t>
  </si>
  <si>
    <t>TOTAL APLICACIÓN FONDOS</t>
  </si>
  <si>
    <t>VARIACION EN EL CAPITAL DE TRABAJO</t>
  </si>
  <si>
    <t>ANALISIS DE CAMBIO DEL CAPITAL NETO DE TRABAJO</t>
  </si>
  <si>
    <t>VARIACIONES EN:</t>
  </si>
  <si>
    <t>ESTE RESULTADO QUEDA DOBLE.</t>
  </si>
  <si>
    <t>FUENTES</t>
  </si>
  <si>
    <t>NOMBRE</t>
  </si>
  <si>
    <t>ESTADO</t>
  </si>
  <si>
    <t>(en blanco)</t>
  </si>
  <si>
    <t>Total general</t>
  </si>
  <si>
    <t>Total FUENTES</t>
  </si>
  <si>
    <t>Total USO</t>
  </si>
  <si>
    <t>Total (en blanco)</t>
  </si>
  <si>
    <t>Total</t>
  </si>
  <si>
    <t>Suma de VARIACION</t>
  </si>
  <si>
    <t>METODO DIRECTO</t>
  </si>
  <si>
    <t>PARTIDAS QUE NO AFECTAN EL EFECTIVO</t>
  </si>
  <si>
    <t>(AUMENTO) DISMINUCION DE INVENTARIOS</t>
  </si>
  <si>
    <t>(AUMENTO) DISMINUCION CRED. CONSUMO</t>
  </si>
  <si>
    <t xml:space="preserve">(AUMENTO) DISMINUCION OTRAS CXC </t>
  </si>
  <si>
    <t>(AUMENTO) DISMINUCION CRED EMPLEADOS</t>
  </si>
  <si>
    <t>(AUMENTO) DISMINUCION RESPONSA PENDIENTE</t>
  </si>
  <si>
    <t>AUMENTO (DISMINUCION) PROVEEDORES</t>
  </si>
  <si>
    <t>AUMENTO (DISMINUCION) IMPUESTOS</t>
  </si>
  <si>
    <t>AUMENTO (DISMINUCION) FONDOS</t>
  </si>
  <si>
    <t>AUMENTO (DISMINUCION) OTROS PASIVOS</t>
  </si>
  <si>
    <t>FUENTES DE CAPITAL DE TRABAJO:</t>
  </si>
  <si>
    <t>EXCEDENTE  (PERDIDA)  NETA DEL AÑO</t>
  </si>
  <si>
    <t>DEPRECIACION PROPIEDAD PLANTA Y EQUIPO</t>
  </si>
  <si>
    <t>CAPITAL DE TRABAJO PROVENIENTE DE</t>
  </si>
  <si>
    <t>OPERACIONES POR:</t>
  </si>
  <si>
    <t>USO DE CAPITAL DE TRABAJO:</t>
  </si>
  <si>
    <t>TOTAL RECURSOS APLICADOS</t>
  </si>
  <si>
    <t>AUMENTO (DISMINUCION) DEL CAPITAL DE TRABAJO</t>
  </si>
  <si>
    <t>EXCENDENTE BRUTO EN VENTAS</t>
  </si>
  <si>
    <t>OTROS INGRESOS OPERACIONALES</t>
  </si>
  <si>
    <t>EXCEDENTE O PERDIDA NETA</t>
  </si>
  <si>
    <t>EFECTIVO A 31-12-2015</t>
  </si>
  <si>
    <t>CAPITAL DE TRABAJO VARIACION</t>
  </si>
  <si>
    <t>ESFA</t>
  </si>
  <si>
    <t xml:space="preserve">ESTADO DE SITUACION FINANCIERA </t>
  </si>
  <si>
    <t>A ENERO 1 DE 2015</t>
  </si>
  <si>
    <t>DESCRIPCION</t>
  </si>
  <si>
    <t>SALDO PCGA</t>
  </si>
  <si>
    <t>SALDO NIIF</t>
  </si>
  <si>
    <t>ACTIVOS</t>
  </si>
  <si>
    <t>EFECTIVO Y EQUIVALENTES DE EFECTIVO</t>
  </si>
  <si>
    <t>EFECTIVO</t>
  </si>
  <si>
    <t>BANCOS</t>
  </si>
  <si>
    <t>FONDOS DESTINACION ESPECIFICA</t>
  </si>
  <si>
    <t>EFECTIVO Y EQUIVALENTES DE EFECTIVO RESTRINGIDOS</t>
  </si>
  <si>
    <t>INVERSIONES -CDT</t>
  </si>
  <si>
    <t>AGROINSUMOS</t>
  </si>
  <si>
    <t>CARTERA DE CREDITOS</t>
  </si>
  <si>
    <t>CREDITOS FERTILIZANTES ASOCIADOS</t>
  </si>
  <si>
    <t>CREDITOS DE RECOLECCION DE CAFÉ</t>
  </si>
  <si>
    <t>ANTICIPO A PROVEEDORES</t>
  </si>
  <si>
    <t>ANTICIPO DE GASTOS DE VIAJES</t>
  </si>
  <si>
    <t xml:space="preserve">PRESTAMOS COLABORADORES </t>
  </si>
  <si>
    <t>DETERIORO DE CREDITOS DE COLABORADORES</t>
  </si>
  <si>
    <t>CREDITOS FERTILIZANTES NO ASOCIADOS</t>
  </si>
  <si>
    <t>ANTICIPO DE IMPUESTOS - IVA</t>
  </si>
  <si>
    <t>DESCUENTOS DE ASAMBLEA</t>
  </si>
  <si>
    <t>PROVISION CARTERAS</t>
  </si>
  <si>
    <t>ACTIVOS FIJOS</t>
  </si>
  <si>
    <t>EDIFICIOS</t>
  </si>
  <si>
    <t>MUEBLES Y EQUIPO DE OFICINA</t>
  </si>
  <si>
    <t>EQUIPO DE COMPUTO Y COMUNICACIÓN</t>
  </si>
  <si>
    <t>POLIZAS DE SEGURO</t>
  </si>
  <si>
    <t>FLO</t>
  </si>
  <si>
    <t>INTANGIBLES</t>
  </si>
  <si>
    <t>INTANGIBLE</t>
  </si>
  <si>
    <t>RESPONSABILIDADES PENDIENTE</t>
  </si>
  <si>
    <t xml:space="preserve"> VALENCIA CANDAMIL NOHOR</t>
  </si>
  <si>
    <t xml:space="preserve"> AGROMAN (ROGELIO GIRALD</t>
  </si>
  <si>
    <t xml:space="preserve"> ROJAS RIOS ANATOL (FALT</t>
  </si>
  <si>
    <t>PROVISIONES RESPONSABILIDADES PENDIENTES</t>
  </si>
  <si>
    <t xml:space="preserve"> CENCOTOL LTDA</t>
  </si>
  <si>
    <t xml:space="preserve"> COOMERSA LTDA</t>
  </si>
  <si>
    <t xml:space="preserve"> ASOHOFRUCOL</t>
  </si>
  <si>
    <t xml:space="preserve"> CLUB SOCIAL</t>
  </si>
  <si>
    <t>EDIFICIO FRESNO</t>
  </si>
  <si>
    <t>PASIVOS</t>
  </si>
  <si>
    <t>LINEA DE FINANCIAMIENTO</t>
  </si>
  <si>
    <t>RESOLUCION 5 FERTILIZANTES</t>
  </si>
  <si>
    <t>AUDITORIA EXTERNA</t>
  </si>
  <si>
    <t>OTROS COSTOS Y GASTOS POR PAGAR</t>
  </si>
  <si>
    <t>RETENCIONES EN LA FUENTE</t>
  </si>
  <si>
    <t>IMPUESTO SOBRE LAS VENTAS</t>
  </si>
  <si>
    <t>RETENCIONES Y APORTES DE NOMINA</t>
  </si>
  <si>
    <t>CONSIGNACIONES SIN IDENTIFICAR</t>
  </si>
  <si>
    <t>FONDO DE SOLIDARIDAD</t>
  </si>
  <si>
    <t>FONDO SOCIAL PARA OTROS FINES - FLO</t>
  </si>
  <si>
    <t>INGRESOS RECIBIDOS PARA TERCEROS</t>
  </si>
  <si>
    <t>PASIVOS ESTIMADOS Y PROVISIONES</t>
  </si>
  <si>
    <t>OTRAS PROVISIONES</t>
  </si>
  <si>
    <t>CESANTIAS COMERCIALES</t>
  </si>
  <si>
    <t>APORTES SOCIALES POR PAGAR</t>
  </si>
  <si>
    <t>TOTAL PASIVOS</t>
  </si>
  <si>
    <t>RESERVA ESPECIAL</t>
  </si>
  <si>
    <t xml:space="preserve"> FONDO MERCADEO DE PRODU</t>
  </si>
  <si>
    <t xml:space="preserve"> FONDO PARA INFRAESTRUCT</t>
  </si>
  <si>
    <t xml:space="preserve"> FONDOS SOCIALES CAPITAL</t>
  </si>
  <si>
    <t xml:space="preserve"> OTROS FONDOS</t>
  </si>
  <si>
    <t xml:space="preserve">RESULTADOS </t>
  </si>
  <si>
    <t>AJUSTES POR REEXPRESION A NIIF</t>
  </si>
  <si>
    <t>AJUSTES DE ADOPCIÓN POR PRIMERA VEZ</t>
  </si>
  <si>
    <t>VARIACION 2015-2016</t>
  </si>
  <si>
    <t>RESULTADO POR REEXPRESION A NIIF</t>
  </si>
  <si>
    <t>INFORME GERENCIAL  COOPERATIVA  A DICIEMBRE  2016</t>
  </si>
  <si>
    <t>ACUMULADOS</t>
  </si>
  <si>
    <t>VAR. 2015-2016</t>
  </si>
  <si>
    <t>VAR 2015-PPTO</t>
  </si>
  <si>
    <t>EJECUCION</t>
  </si>
  <si>
    <t>PRESUPUESTO</t>
  </si>
  <si>
    <t>MARIQUITA</t>
  </si>
  <si>
    <t xml:space="preserve">CESANTIAS COMERCIALES </t>
  </si>
  <si>
    <t>TRILLA</t>
  </si>
  <si>
    <t>FLETES RECURSOS PROPIOS</t>
  </si>
  <si>
    <t>RECUPERACION DE PROVISIONES</t>
  </si>
  <si>
    <t>PROCESOS JUDICIALES</t>
  </si>
  <si>
    <t>SISTEMAS Y ASISTENCIA TECNICA</t>
  </si>
  <si>
    <t>CACAO</t>
  </si>
  <si>
    <t>VENTAS</t>
  </si>
  <si>
    <t>PALO</t>
  </si>
  <si>
    <t>COSTO DE VENTA</t>
  </si>
  <si>
    <t xml:space="preserve">FRESNO </t>
  </si>
  <si>
    <t xml:space="preserve">GASTOS </t>
  </si>
  <si>
    <t>CARGUES Y DESCARGUES Y FLETES</t>
  </si>
  <si>
    <t>UTILIDAD EN CACAO</t>
  </si>
  <si>
    <t>ESTADISTICAS</t>
  </si>
  <si>
    <t>MARGENES</t>
  </si>
  <si>
    <t>PRECIO VENTA PROMEDIO</t>
  </si>
  <si>
    <t>COSTO DE VENTA PROMEDIO</t>
  </si>
  <si>
    <t>RECUPERACIONES</t>
  </si>
  <si>
    <t>CONTRATOS Y OTROS</t>
  </si>
  <si>
    <t>EFECTIVO A 31-12-2016</t>
  </si>
  <si>
    <t>ESTADO DE SITUACION FINANCIERA</t>
  </si>
  <si>
    <t>SALDO A DIC 31/2014</t>
  </si>
  <si>
    <t>AJUSTES POR CONVERSION A NIIF</t>
  </si>
  <si>
    <t>OPERACIÓN 2016</t>
  </si>
  <si>
    <t>SALDO A DIC 31 /2016</t>
  </si>
  <si>
    <t>SALDO ENE 01 /2015</t>
  </si>
  <si>
    <t>ESTADO DE RESULTADO INTEGRAL</t>
  </si>
  <si>
    <t>EFECTIVO Y EQUIVALENTE DE EFECTIVO</t>
  </si>
  <si>
    <t>EXCEDENTE O PERDIDA  OPERACIONAL</t>
  </si>
  <si>
    <t>EXCEDENTE O PERDIDA ADMINISTRATIVA</t>
  </si>
  <si>
    <t>TOTAL OTROS INGRESOS OPERACIONALES</t>
  </si>
  <si>
    <t>OTROS COSTOS OPERACIONALES</t>
  </si>
  <si>
    <t>TOTAL OTROS COSTOS OPERACIONALES</t>
  </si>
  <si>
    <t>VENTA DE INSUMOS, MAT PRI AGROP , FLORES Y PRODUCTOS AGROPECUARIOS</t>
  </si>
  <si>
    <t>EXCENDENTE NETO EN VENTAS</t>
  </si>
  <si>
    <t>EXCENDENTE BRUTO OTRAS OPERACIONES</t>
  </si>
  <si>
    <t>INGRESOS ADMINISTRATIVOS</t>
  </si>
  <si>
    <t xml:space="preserve">GASTOS ADMINISTRATIVOS </t>
  </si>
  <si>
    <t xml:space="preserve">GASTOS FINANCIEROS </t>
  </si>
  <si>
    <t xml:space="preserve">GASTOS BANCARIOS 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</si>
</sst>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-[$$-240A]* #,##0.00_-;\-[$$-240A]* #,##0.00_-;_-[$$-240A]* &quot;-&quot;??_-;_-@_-"/>
    <numFmt numFmtId="174" formatCode="[$-240A]dddd\,\ dd&quot; de &quot;mmmm&quot; de &quot;yyyy"/>
    <numFmt numFmtId="175" formatCode="[$-240A]hh:mm:ss\ AM/PM"/>
    <numFmt numFmtId="176" formatCode="0.0%"/>
    <numFmt numFmtId="177" formatCode="_-* #,##0.00_-;\-* #,##0.00_-;_-* &quot;-&quot;_-;_-@_-"/>
    <numFmt numFmtId="178" formatCode="mmmm\-yy"/>
    <numFmt numFmtId="179" formatCode="_-* #,##0.00\ _P_t_s_-;\-* #,##0.00\ _P_t_s_-;_-* &quot;-&quot;??\ _P_t_s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_([$$-240A]\ * #,##0.00_);_([$$-240A]\ * \(#,##0.00\);_([$$-240A]\ * &quot;-&quot;??_);_(@_)"/>
    <numFmt numFmtId="187" formatCode="0.0"/>
    <numFmt numFmtId="188" formatCode="#,##0;\(#,##0\)"/>
    <numFmt numFmtId="189" formatCode="_ * #,##0_ ;_ * \-#,##0_ ;_ * &quot;-&quot;_ ;_ @_ "/>
    <numFmt numFmtId="190" formatCode="#,##0.0_ ;\-#,##0.0\ "/>
    <numFmt numFmtId="191" formatCode="_(&quot;$&quot;\ * #,##0.0_);_(&quot;$&quot;\ * \(#,##0.0\);_(&quot;$&quot;\ * &quot;-&quot;??_);_(@_)"/>
    <numFmt numFmtId="192" formatCode="_(&quot;$&quot;\ * #,##0_);_(&quot;$&quot;\ * \(#,##0\);_(&quot;$&quot;\ * &quot;-&quot;??_);_(@_)"/>
    <numFmt numFmtId="193" formatCode="0.000%"/>
    <numFmt numFmtId="194" formatCode="0.0000%"/>
    <numFmt numFmtId="195" formatCode="_(&quot;$&quot;* #,##0_);_(&quot;$&quot;* \(#,##0\);_(&quot;$&quot;* &quot;-&quot;_);_(@_)"/>
    <numFmt numFmtId="196" formatCode="_(&quot;$&quot;* #,##0_);_(&quot;$&quot;* \(#,##0\);_(&quot;$&quot;* &quot;-&quot;??_);_(@_)"/>
    <numFmt numFmtId="197" formatCode="_(&quot;$&quot;\ * #,##0.0_);_(&quot;$&quot;\ * \(#,##0.0\);_(&quot;$&quot;\ * &quot;-&quot;_);_(@_)"/>
    <numFmt numFmtId="198" formatCode="_-&quot;$&quot;* #,##0.0_-;\-&quot;$&quot;* #,##0.0_-;_-&quot;$&quot;* &quot;-&quot;_-;_-@_-"/>
    <numFmt numFmtId="199" formatCode="_(&quot;$&quot;\ * #,##0.00_);_(&quot;$&quot;\ * \(#,##0.00\);_(&quot;$&quot;\ * &quot;-&quot;_);_(@_)"/>
    <numFmt numFmtId="200" formatCode="_-* #,##0_-;\-* #,##0_-;_-* &quot;-&quot;??_-;_-@_-"/>
    <numFmt numFmtId="201" formatCode="_(&quot;$&quot;\ * #,##0.000_);_(&quot;$&quot;\ * \(#,##0.000\);_(&quot;$&quot;\ * &quot;-&quot;??_);_(@_)"/>
    <numFmt numFmtId="202" formatCode="_(&quot;$&quot;\ * #,##0.0000_);_(&quot;$&quot;\ * \(#,##0.0000\);_(&quot;$&quot;\ * &quot;-&quot;??_);_(@_)"/>
    <numFmt numFmtId="203" formatCode="_(&quot;$&quot;* #,##0.0_);_(&quot;$&quot;* \(#,##0.0\);_(&quot;$&quot;* &quot;-&quot;??_);_(@_)"/>
    <numFmt numFmtId="204" formatCode="_(&quot;$&quot;* #,##0.000_);_(&quot;$&quot;* \(#,##0.000\);_(&quot;$&quot;* &quot;-&quot;??_);_(@_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-&quot;$&quot;* #,##0.0_-;\-&quot;$&quot;* #,##0.0_-;_-&quot;$&quot;* &quot;-&quot;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"/>
      <family val="2"/>
    </font>
    <font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u val="single"/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50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60" applyNumberFormat="1" applyFont="1" applyFill="1" applyAlignment="1">
      <alignment/>
    </xf>
    <xf numFmtId="172" fontId="0" fillId="0" borderId="0" xfId="51" applyNumberFormat="1" applyFont="1" applyAlignment="1">
      <alignment/>
    </xf>
    <xf numFmtId="10" fontId="0" fillId="0" borderId="0" xfId="75" applyNumberFormat="1" applyFon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2" fontId="0" fillId="0" borderId="0" xfId="51" applyNumberFormat="1" applyFont="1" applyAlignment="1">
      <alignment/>
    </xf>
    <xf numFmtId="170" fontId="0" fillId="0" borderId="0" xfId="51" applyFont="1" applyAlignment="1">
      <alignment/>
    </xf>
    <xf numFmtId="0" fontId="52" fillId="0" borderId="0" xfId="0" applyFont="1" applyAlignment="1">
      <alignment/>
    </xf>
    <xf numFmtId="172" fontId="52" fillId="0" borderId="0" xfId="60" applyNumberFormat="1" applyFont="1" applyAlignment="1">
      <alignment/>
    </xf>
    <xf numFmtId="172" fontId="0" fillId="0" borderId="0" xfId="51" applyNumberFormat="1" applyFont="1" applyFill="1" applyAlignment="1">
      <alignment/>
    </xf>
    <xf numFmtId="170" fontId="0" fillId="0" borderId="0" xfId="0" applyNumberFormat="1" applyAlignment="1">
      <alignment/>
    </xf>
    <xf numFmtId="172" fontId="0" fillId="0" borderId="0" xfId="0" applyNumberFormat="1" applyAlignment="1">
      <alignment/>
    </xf>
    <xf numFmtId="44" fontId="0" fillId="0" borderId="0" xfId="0" applyNumberFormat="1" applyAlignment="1">
      <alignment/>
    </xf>
    <xf numFmtId="9" fontId="0" fillId="0" borderId="0" xfId="75" applyFont="1" applyAlignment="1">
      <alignment/>
    </xf>
    <xf numFmtId="170" fontId="0" fillId="0" borderId="10" xfId="51" applyFont="1" applyBorder="1" applyAlignment="1">
      <alignment/>
    </xf>
    <xf numFmtId="170" fontId="0" fillId="0" borderId="0" xfId="51" applyFont="1" applyBorder="1" applyAlignment="1">
      <alignment/>
    </xf>
    <xf numFmtId="0" fontId="0" fillId="0" borderId="0" xfId="0" applyBorder="1" applyAlignment="1">
      <alignment/>
    </xf>
    <xf numFmtId="0" fontId="52" fillId="0" borderId="0" xfId="0" applyFont="1" applyAlignment="1">
      <alignment horizontal="center"/>
    </xf>
    <xf numFmtId="170" fontId="52" fillId="0" borderId="0" xfId="51" applyFont="1" applyBorder="1" applyAlignment="1">
      <alignment/>
    </xf>
    <xf numFmtId="0" fontId="5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9" fontId="0" fillId="0" borderId="13" xfId="75" applyFont="1" applyBorder="1" applyAlignment="1">
      <alignment/>
    </xf>
    <xf numFmtId="0" fontId="52" fillId="0" borderId="0" xfId="51" applyNumberFormat="1" applyFont="1" applyBorder="1" applyAlignment="1">
      <alignment horizontal="center"/>
    </xf>
    <xf numFmtId="9" fontId="52" fillId="0" borderId="13" xfId="75" applyFont="1" applyBorder="1" applyAlignment="1">
      <alignment horizontal="center"/>
    </xf>
    <xf numFmtId="10" fontId="0" fillId="0" borderId="13" xfId="75" applyNumberFormat="1" applyFont="1" applyBorder="1" applyAlignment="1">
      <alignment/>
    </xf>
    <xf numFmtId="10" fontId="0" fillId="0" borderId="14" xfId="75" applyNumberFormat="1" applyFont="1" applyBorder="1" applyAlignment="1">
      <alignment/>
    </xf>
    <xf numFmtId="10" fontId="52" fillId="0" borderId="13" xfId="75" applyNumberFormat="1" applyFont="1" applyBorder="1" applyAlignment="1">
      <alignment/>
    </xf>
    <xf numFmtId="170" fontId="52" fillId="0" borderId="13" xfId="51" applyFont="1" applyBorder="1" applyAlignment="1">
      <alignment/>
    </xf>
    <xf numFmtId="0" fontId="0" fillId="0" borderId="0" xfId="0" applyFont="1" applyBorder="1" applyAlignment="1">
      <alignment/>
    </xf>
    <xf numFmtId="0" fontId="52" fillId="0" borderId="12" xfId="0" applyFont="1" applyBorder="1" applyAlignment="1">
      <alignment/>
    </xf>
    <xf numFmtId="170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9" fontId="52" fillId="0" borderId="13" xfId="75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2" fillId="0" borderId="16" xfId="0" applyFont="1" applyBorder="1" applyAlignment="1">
      <alignment horizontal="center"/>
    </xf>
    <xf numFmtId="170" fontId="0" fillId="0" borderId="16" xfId="51" applyFont="1" applyBorder="1" applyAlignment="1">
      <alignment/>
    </xf>
    <xf numFmtId="9" fontId="0" fillId="0" borderId="17" xfId="75" applyFont="1" applyBorder="1" applyAlignment="1">
      <alignment/>
    </xf>
    <xf numFmtId="176" fontId="52" fillId="0" borderId="13" xfId="75" applyNumberFormat="1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70" fontId="30" fillId="0" borderId="0" xfId="51" applyFont="1" applyFill="1" applyAlignment="1">
      <alignment/>
    </xf>
    <xf numFmtId="170" fontId="30" fillId="0" borderId="0" xfId="51" applyFont="1" applyAlignment="1">
      <alignment/>
    </xf>
    <xf numFmtId="0" fontId="30" fillId="0" borderId="0" xfId="51" applyNumberFormat="1" applyFont="1" applyFill="1" applyAlignment="1">
      <alignment/>
    </xf>
    <xf numFmtId="0" fontId="30" fillId="0" borderId="0" xfId="51" applyNumberFormat="1" applyFont="1" applyAlignment="1">
      <alignment/>
    </xf>
    <xf numFmtId="0" fontId="30" fillId="0" borderId="0" xfId="0" applyFont="1" applyFill="1" applyAlignment="1">
      <alignment/>
    </xf>
    <xf numFmtId="170" fontId="30" fillId="0" borderId="0" xfId="0" applyNumberFormat="1" applyFont="1" applyFill="1" applyAlignment="1">
      <alignment/>
    </xf>
    <xf numFmtId="10" fontId="30" fillId="0" borderId="0" xfId="75" applyNumberFormat="1" applyFont="1" applyFill="1" applyAlignment="1">
      <alignment/>
    </xf>
    <xf numFmtId="0" fontId="31" fillId="0" borderId="0" xfId="0" applyFont="1" applyFill="1" applyAlignment="1">
      <alignment/>
    </xf>
    <xf numFmtId="172" fontId="0" fillId="0" borderId="0" xfId="55" applyNumberFormat="1" applyFont="1" applyAlignment="1">
      <alignment/>
    </xf>
    <xf numFmtId="172" fontId="0" fillId="0" borderId="0" xfId="57" applyNumberFormat="1" applyFont="1" applyAlignment="1">
      <alignment/>
    </xf>
    <xf numFmtId="170" fontId="31" fillId="0" borderId="0" xfId="0" applyNumberFormat="1" applyFont="1" applyFill="1" applyAlignment="1">
      <alignment/>
    </xf>
    <xf numFmtId="10" fontId="31" fillId="0" borderId="0" xfId="75" applyNumberFormat="1" applyFont="1" applyFill="1" applyAlignment="1">
      <alignment/>
    </xf>
    <xf numFmtId="170" fontId="31" fillId="0" borderId="0" xfId="51" applyFont="1" applyFill="1" applyAlignment="1">
      <alignment/>
    </xf>
    <xf numFmtId="0" fontId="31" fillId="0" borderId="0" xfId="0" applyFont="1" applyAlignment="1">
      <alignment/>
    </xf>
    <xf numFmtId="170" fontId="31" fillId="0" borderId="0" xfId="51" applyFont="1" applyAlignment="1">
      <alignment/>
    </xf>
    <xf numFmtId="170" fontId="31" fillId="0" borderId="0" xfId="0" applyNumberFormat="1" applyFont="1" applyAlignment="1">
      <alignment/>
    </xf>
    <xf numFmtId="10" fontId="31" fillId="0" borderId="0" xfId="75" applyNumberFormat="1" applyFont="1" applyAlignment="1">
      <alignment/>
    </xf>
    <xf numFmtId="170" fontId="30" fillId="0" borderId="0" xfId="0" applyNumberFormat="1" applyFont="1" applyAlignment="1">
      <alignment/>
    </xf>
    <xf numFmtId="10" fontId="30" fillId="0" borderId="0" xfId="75" applyNumberFormat="1" applyFont="1" applyAlignment="1">
      <alignment/>
    </xf>
    <xf numFmtId="44" fontId="30" fillId="0" borderId="0" xfId="0" applyNumberFormat="1" applyFont="1" applyAlignment="1">
      <alignment/>
    </xf>
    <xf numFmtId="44" fontId="31" fillId="0" borderId="0" xfId="0" applyNumberFormat="1" applyFont="1" applyFill="1" applyAlignment="1">
      <alignment/>
    </xf>
    <xf numFmtId="170" fontId="31" fillId="0" borderId="0" xfId="56" applyFont="1" applyFill="1" applyAlignment="1">
      <alignment/>
    </xf>
    <xf numFmtId="43" fontId="31" fillId="0" borderId="0" xfId="0" applyNumberFormat="1" applyFont="1" applyFill="1" applyAlignment="1">
      <alignment/>
    </xf>
    <xf numFmtId="177" fontId="31" fillId="0" borderId="0" xfId="0" applyNumberFormat="1" applyFont="1" applyFill="1" applyAlignment="1">
      <alignment/>
    </xf>
    <xf numFmtId="44" fontId="30" fillId="0" borderId="0" xfId="0" applyNumberFormat="1" applyFont="1" applyFill="1" applyAlignment="1">
      <alignment/>
    </xf>
    <xf numFmtId="0" fontId="31" fillId="0" borderId="0" xfId="62" applyFont="1">
      <alignment/>
      <protection/>
    </xf>
    <xf numFmtId="0" fontId="31" fillId="0" borderId="0" xfId="62" applyFont="1" applyFill="1">
      <alignment/>
      <protection/>
    </xf>
    <xf numFmtId="170" fontId="31" fillId="0" borderId="0" xfId="56" applyFont="1" applyAlignment="1">
      <alignment/>
    </xf>
    <xf numFmtId="170" fontId="30" fillId="33" borderId="0" xfId="51" applyFont="1" applyFill="1" applyAlignment="1">
      <alignment/>
    </xf>
    <xf numFmtId="170" fontId="0" fillId="0" borderId="0" xfId="51" applyFont="1" applyFill="1" applyAlignment="1">
      <alignment/>
    </xf>
    <xf numFmtId="170" fontId="0" fillId="0" borderId="10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3" fillId="0" borderId="0" xfId="63" applyFont="1" applyAlignment="1">
      <alignment horizontal="center"/>
      <protection/>
    </xf>
    <xf numFmtId="0" fontId="2" fillId="0" borderId="0" xfId="63">
      <alignment/>
      <protection/>
    </xf>
    <xf numFmtId="0" fontId="3" fillId="0" borderId="0" xfId="63" applyFont="1">
      <alignment/>
      <protection/>
    </xf>
    <xf numFmtId="178" fontId="3" fillId="0" borderId="0" xfId="63" applyNumberFormat="1" applyFont="1" applyAlignment="1">
      <alignment horizontal="center"/>
      <protection/>
    </xf>
    <xf numFmtId="179" fontId="0" fillId="0" borderId="0" xfId="50" applyNumberFormat="1" applyFont="1" applyAlignment="1">
      <alignment/>
    </xf>
    <xf numFmtId="0" fontId="2" fillId="0" borderId="0" xfId="63" applyFont="1">
      <alignment/>
      <protection/>
    </xf>
    <xf numFmtId="171" fontId="0" fillId="0" borderId="0" xfId="50" applyNumberFormat="1" applyFont="1" applyAlignment="1">
      <alignment/>
    </xf>
    <xf numFmtId="10" fontId="0" fillId="0" borderId="0" xfId="76" applyNumberFormat="1" applyFont="1" applyAlignment="1">
      <alignment/>
    </xf>
    <xf numFmtId="171" fontId="3" fillId="0" borderId="0" xfId="50" applyNumberFormat="1" applyFont="1" applyAlignment="1">
      <alignment/>
    </xf>
    <xf numFmtId="10" fontId="3" fillId="0" borderId="0" xfId="76" applyNumberFormat="1" applyFont="1" applyAlignment="1">
      <alignment/>
    </xf>
    <xf numFmtId="171" fontId="2" fillId="0" borderId="0" xfId="63" applyNumberFormat="1">
      <alignment/>
      <protection/>
    </xf>
    <xf numFmtId="171" fontId="0" fillId="0" borderId="0" xfId="50" applyNumberFormat="1" applyFont="1" applyFill="1" applyAlignment="1">
      <alignment/>
    </xf>
    <xf numFmtId="171" fontId="3" fillId="0" borderId="0" xfId="63" applyNumberFormat="1" applyFont="1">
      <alignment/>
      <protection/>
    </xf>
    <xf numFmtId="171" fontId="2" fillId="0" borderId="0" xfId="63" applyNumberFormat="1" applyFont="1">
      <alignment/>
      <protection/>
    </xf>
    <xf numFmtId="10" fontId="3" fillId="33" borderId="0" xfId="76" applyNumberFormat="1" applyFont="1" applyFill="1" applyAlignment="1">
      <alignment/>
    </xf>
    <xf numFmtId="0" fontId="0" fillId="0" borderId="13" xfId="0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170" fontId="52" fillId="0" borderId="0" xfId="51" applyFont="1" applyBorder="1" applyAlignment="1">
      <alignment horizontal="center"/>
    </xf>
    <xf numFmtId="170" fontId="0" fillId="0" borderId="0" xfId="51" applyFont="1" applyAlignment="1">
      <alignment/>
    </xf>
    <xf numFmtId="170" fontId="0" fillId="0" borderId="0" xfId="51" applyFont="1" applyBorder="1" applyAlignment="1">
      <alignment/>
    </xf>
    <xf numFmtId="0" fontId="52" fillId="0" borderId="0" xfId="0" applyNumberFormat="1" applyFont="1" applyBorder="1" applyAlignment="1">
      <alignment horizontal="center"/>
    </xf>
    <xf numFmtId="170" fontId="0" fillId="0" borderId="10" xfId="51" applyFont="1" applyBorder="1" applyAlignment="1">
      <alignment/>
    </xf>
    <xf numFmtId="170" fontId="52" fillId="0" borderId="10" xfId="51" applyFont="1" applyBorder="1" applyAlignment="1">
      <alignment/>
    </xf>
    <xf numFmtId="10" fontId="0" fillId="0" borderId="13" xfId="75" applyNumberFormat="1" applyFont="1" applyBorder="1" applyAlignment="1">
      <alignment/>
    </xf>
    <xf numFmtId="10" fontId="0" fillId="0" borderId="14" xfId="75" applyNumberFormat="1" applyFont="1" applyBorder="1" applyAlignment="1">
      <alignment/>
    </xf>
    <xf numFmtId="9" fontId="52" fillId="0" borderId="13" xfId="75" applyFont="1" applyBorder="1" applyAlignment="1">
      <alignment/>
    </xf>
    <xf numFmtId="9" fontId="52" fillId="0" borderId="13" xfId="75" applyNumberFormat="1" applyFont="1" applyBorder="1" applyAlignment="1">
      <alignment/>
    </xf>
    <xf numFmtId="170" fontId="52" fillId="0" borderId="16" xfId="51" applyFont="1" applyBorder="1" applyAlignment="1">
      <alignment/>
    </xf>
    <xf numFmtId="170" fontId="0" fillId="0" borderId="0" xfId="0" applyNumberFormat="1" applyAlignment="1">
      <alignment wrapText="1"/>
    </xf>
    <xf numFmtId="10" fontId="52" fillId="0" borderId="13" xfId="51" applyNumberFormat="1" applyFont="1" applyBorder="1" applyAlignment="1">
      <alignment/>
    </xf>
    <xf numFmtId="0" fontId="52" fillId="0" borderId="13" xfId="0" applyFont="1" applyBorder="1" applyAlignment="1">
      <alignment/>
    </xf>
    <xf numFmtId="170" fontId="0" fillId="0" borderId="0" xfId="51" applyFont="1" applyAlignment="1">
      <alignment/>
    </xf>
    <xf numFmtId="170" fontId="0" fillId="0" borderId="0" xfId="51" applyFont="1" applyBorder="1" applyAlignment="1">
      <alignment/>
    </xf>
    <xf numFmtId="170" fontId="0" fillId="0" borderId="10" xfId="51" applyFont="1" applyBorder="1" applyAlignment="1">
      <alignment/>
    </xf>
    <xf numFmtId="0" fontId="52" fillId="0" borderId="12" xfId="0" applyFont="1" applyBorder="1" applyAlignment="1">
      <alignment horizontal="center"/>
    </xf>
    <xf numFmtId="170" fontId="0" fillId="0" borderId="16" xfId="51" applyFont="1" applyBorder="1" applyAlignment="1">
      <alignment/>
    </xf>
    <xf numFmtId="0" fontId="5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51" applyNumberFormat="1" applyFont="1" applyBorder="1" applyAlignment="1">
      <alignment/>
    </xf>
    <xf numFmtId="0" fontId="52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52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52" fillId="0" borderId="0" xfId="0" applyFont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ont="1" applyBorder="1" applyAlignment="1">
      <alignment wrapText="1"/>
    </xf>
    <xf numFmtId="170" fontId="52" fillId="0" borderId="0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172" fontId="0" fillId="0" borderId="0" xfId="51" applyNumberFormat="1" applyFont="1" applyAlignment="1">
      <alignment/>
    </xf>
    <xf numFmtId="170" fontId="31" fillId="0" borderId="0" xfId="51" applyFont="1" applyFill="1" applyBorder="1" applyAlignment="1">
      <alignment/>
    </xf>
    <xf numFmtId="173" fontId="31" fillId="0" borderId="0" xfId="0" applyNumberFormat="1" applyFont="1" applyFill="1" applyBorder="1" applyAlignment="1">
      <alignment/>
    </xf>
    <xf numFmtId="172" fontId="0" fillId="0" borderId="0" xfId="59" applyNumberFormat="1" applyFont="1" applyBorder="1" applyAlignment="1">
      <alignment/>
    </xf>
    <xf numFmtId="173" fontId="31" fillId="0" borderId="0" xfId="0" applyNumberFormat="1" applyFont="1" applyBorder="1" applyAlignment="1">
      <alignment/>
    </xf>
    <xf numFmtId="170" fontId="0" fillId="0" borderId="0" xfId="51" applyFont="1" applyAlignment="1">
      <alignment/>
    </xf>
    <xf numFmtId="0" fontId="0" fillId="0" borderId="0" xfId="0" applyFill="1" applyBorder="1" applyAlignment="1">
      <alignment/>
    </xf>
    <xf numFmtId="172" fontId="0" fillId="33" borderId="0" xfId="60" applyNumberFormat="1" applyFont="1" applyFill="1" applyAlignment="1">
      <alignment/>
    </xf>
    <xf numFmtId="172" fontId="0" fillId="11" borderId="0" xfId="60" applyNumberFormat="1" applyFont="1" applyFill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12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170" fontId="0" fillId="0" borderId="0" xfId="51" applyFont="1" applyBorder="1" applyAlignment="1">
      <alignment/>
    </xf>
    <xf numFmtId="170" fontId="0" fillId="0" borderId="13" xfId="51" applyFont="1" applyBorder="1" applyAlignment="1">
      <alignment/>
    </xf>
    <xf numFmtId="170" fontId="52" fillId="0" borderId="13" xfId="51" applyFont="1" applyBorder="1" applyAlignment="1">
      <alignment horizontal="center"/>
    </xf>
    <xf numFmtId="170" fontId="0" fillId="0" borderId="0" xfId="51" applyFont="1" applyAlignment="1">
      <alignment/>
    </xf>
    <xf numFmtId="1" fontId="52" fillId="0" borderId="0" xfId="51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52" fillId="0" borderId="12" xfId="0" applyFont="1" applyBorder="1" applyAlignment="1">
      <alignment wrapText="1"/>
    </xf>
    <xf numFmtId="10" fontId="0" fillId="0" borderId="0" xfId="75" applyNumberFormat="1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3" xfId="0" applyFont="1" applyBorder="1" applyAlignment="1">
      <alignment/>
    </xf>
    <xf numFmtId="0" fontId="5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70" fontId="52" fillId="33" borderId="0" xfId="51" applyFont="1" applyFill="1" applyBorder="1" applyAlignment="1">
      <alignment/>
    </xf>
    <xf numFmtId="9" fontId="52" fillId="33" borderId="13" xfId="75" applyNumberFormat="1" applyFont="1" applyFill="1" applyBorder="1" applyAlignment="1">
      <alignment/>
    </xf>
    <xf numFmtId="0" fontId="0" fillId="33" borderId="0" xfId="0" applyFill="1" applyAlignment="1">
      <alignment/>
    </xf>
    <xf numFmtId="170" fontId="0" fillId="33" borderId="0" xfId="51" applyFont="1" applyFill="1" applyBorder="1" applyAlignment="1">
      <alignment/>
    </xf>
    <xf numFmtId="9" fontId="0" fillId="33" borderId="13" xfId="75" applyNumberFormat="1" applyFont="1" applyFill="1" applyBorder="1" applyAlignment="1">
      <alignment/>
    </xf>
    <xf numFmtId="170" fontId="0" fillId="33" borderId="0" xfId="0" applyNumberFormat="1" applyFill="1" applyAlignment="1">
      <alignment/>
    </xf>
    <xf numFmtId="0" fontId="52" fillId="0" borderId="0" xfId="51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0" fontId="0" fillId="0" borderId="24" xfId="51" applyFont="1" applyBorder="1" applyAlignment="1">
      <alignment/>
    </xf>
    <xf numFmtId="170" fontId="0" fillId="0" borderId="25" xfId="51" applyFont="1" applyBorder="1" applyAlignment="1">
      <alignment/>
    </xf>
    <xf numFmtId="170" fontId="0" fillId="0" borderId="26" xfId="51" applyFont="1" applyBorder="1" applyAlignment="1">
      <alignment/>
    </xf>
    <xf numFmtId="170" fontId="0" fillId="0" borderId="0" xfId="5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63" applyFont="1">
      <alignment/>
      <protection/>
    </xf>
    <xf numFmtId="188" fontId="5" fillId="0" borderId="0" xfId="63" applyNumberFormat="1" applyFont="1" applyBorder="1">
      <alignment/>
      <protection/>
    </xf>
    <xf numFmtId="188" fontId="5" fillId="0" borderId="10" xfId="63" applyNumberFormat="1" applyFont="1" applyBorder="1">
      <alignment/>
      <protection/>
    </xf>
    <xf numFmtId="0" fontId="52" fillId="0" borderId="27" xfId="0" applyFont="1" applyBorder="1" applyAlignment="1">
      <alignment/>
    </xf>
    <xf numFmtId="0" fontId="52" fillId="0" borderId="28" xfId="0" applyFont="1" applyBorder="1" applyAlignment="1">
      <alignment/>
    </xf>
    <xf numFmtId="170" fontId="0" fillId="0" borderId="0" xfId="51" applyFont="1" applyAlignment="1">
      <alignment/>
    </xf>
    <xf numFmtId="0" fontId="0" fillId="0" borderId="0" xfId="60" applyNumberFormat="1" applyFont="1" applyAlignment="1">
      <alignment horizontal="center"/>
    </xf>
    <xf numFmtId="172" fontId="0" fillId="0" borderId="0" xfId="60" applyNumberFormat="1" applyFont="1" applyAlignment="1">
      <alignment/>
    </xf>
    <xf numFmtId="0" fontId="54" fillId="0" borderId="11" xfId="0" applyFont="1" applyBorder="1" applyAlignment="1">
      <alignment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wrapText="1"/>
    </xf>
    <xf numFmtId="0" fontId="54" fillId="0" borderId="0" xfId="0" applyFont="1" applyBorder="1" applyAlignment="1">
      <alignment/>
    </xf>
    <xf numFmtId="170" fontId="54" fillId="0" borderId="0" xfId="51" applyFont="1" applyBorder="1" applyAlignment="1">
      <alignment/>
    </xf>
    <xf numFmtId="9" fontId="54" fillId="0" borderId="13" xfId="75" applyFont="1" applyBorder="1" applyAlignment="1">
      <alignment/>
    </xf>
    <xf numFmtId="0" fontId="55" fillId="0" borderId="0" xfId="51" applyNumberFormat="1" applyFont="1" applyBorder="1" applyAlignment="1">
      <alignment horizontal="center"/>
    </xf>
    <xf numFmtId="0" fontId="55" fillId="0" borderId="0" xfId="0" applyFont="1" applyBorder="1" applyAlignment="1">
      <alignment/>
    </xf>
    <xf numFmtId="170" fontId="55" fillId="0" borderId="0" xfId="51" applyFont="1" applyBorder="1" applyAlignment="1">
      <alignment/>
    </xf>
    <xf numFmtId="9" fontId="55" fillId="0" borderId="13" xfId="75" applyFont="1" applyBorder="1" applyAlignment="1">
      <alignment horizontal="center"/>
    </xf>
    <xf numFmtId="0" fontId="55" fillId="0" borderId="0" xfId="0" applyFont="1" applyBorder="1" applyAlignment="1">
      <alignment wrapText="1"/>
    </xf>
    <xf numFmtId="10" fontId="54" fillId="0" borderId="13" xfId="75" applyNumberFormat="1" applyFont="1" applyBorder="1" applyAlignment="1">
      <alignment/>
    </xf>
    <xf numFmtId="170" fontId="54" fillId="0" borderId="0" xfId="0" applyNumberFormat="1" applyFont="1" applyAlignment="1">
      <alignment/>
    </xf>
    <xf numFmtId="0" fontId="54" fillId="0" borderId="0" xfId="0" applyFont="1" applyFill="1" applyBorder="1" applyAlignment="1">
      <alignment wrapText="1"/>
    </xf>
    <xf numFmtId="170" fontId="54" fillId="0" borderId="10" xfId="51" applyFont="1" applyBorder="1" applyAlignment="1">
      <alignment/>
    </xf>
    <xf numFmtId="10" fontId="54" fillId="0" borderId="14" xfId="75" applyNumberFormat="1" applyFont="1" applyBorder="1" applyAlignment="1">
      <alignment/>
    </xf>
    <xf numFmtId="10" fontId="55" fillId="0" borderId="13" xfId="75" applyNumberFormat="1" applyFont="1" applyBorder="1" applyAlignment="1">
      <alignment/>
    </xf>
    <xf numFmtId="170" fontId="55" fillId="0" borderId="13" xfId="51" applyFont="1" applyBorder="1" applyAlignment="1">
      <alignment/>
    </xf>
    <xf numFmtId="0" fontId="55" fillId="0" borderId="12" xfId="0" applyFont="1" applyBorder="1" applyAlignment="1">
      <alignment/>
    </xf>
    <xf numFmtId="176" fontId="55" fillId="0" borderId="13" xfId="75" applyNumberFormat="1" applyFont="1" applyBorder="1" applyAlignment="1">
      <alignment/>
    </xf>
    <xf numFmtId="170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54" fillId="0" borderId="12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170" fontId="54" fillId="0" borderId="0" xfId="51" applyFont="1" applyBorder="1" applyAlignment="1">
      <alignment horizontal="left"/>
    </xf>
    <xf numFmtId="9" fontId="54" fillId="0" borderId="13" xfId="75" applyFont="1" applyBorder="1" applyAlignment="1">
      <alignment horizontal="left"/>
    </xf>
    <xf numFmtId="0" fontId="54" fillId="0" borderId="0" xfId="0" applyFont="1" applyAlignment="1">
      <alignment horizontal="left"/>
    </xf>
    <xf numFmtId="170" fontId="55" fillId="0" borderId="0" xfId="0" applyNumberFormat="1" applyFont="1" applyBorder="1" applyAlignment="1">
      <alignment wrapText="1"/>
    </xf>
    <xf numFmtId="0" fontId="55" fillId="0" borderId="0" xfId="0" applyFont="1" applyBorder="1" applyAlignment="1">
      <alignment/>
    </xf>
    <xf numFmtId="9" fontId="55" fillId="0" borderId="0" xfId="75" applyFont="1" applyBorder="1" applyAlignment="1">
      <alignment/>
    </xf>
    <xf numFmtId="9" fontId="54" fillId="0" borderId="0" xfId="75" applyFont="1" applyBorder="1" applyAlignment="1">
      <alignment/>
    </xf>
    <xf numFmtId="0" fontId="54" fillId="0" borderId="15" xfId="0" applyFont="1" applyBorder="1" applyAlignment="1">
      <alignment/>
    </xf>
    <xf numFmtId="0" fontId="54" fillId="0" borderId="16" xfId="0" applyFont="1" applyBorder="1" applyAlignment="1">
      <alignment wrapText="1"/>
    </xf>
    <xf numFmtId="0" fontId="55" fillId="0" borderId="16" xfId="0" applyFont="1" applyBorder="1" applyAlignment="1">
      <alignment horizontal="center"/>
    </xf>
    <xf numFmtId="0" fontId="54" fillId="0" borderId="16" xfId="0" applyFont="1" applyBorder="1" applyAlignment="1">
      <alignment/>
    </xf>
    <xf numFmtId="170" fontId="54" fillId="0" borderId="16" xfId="51" applyFont="1" applyBorder="1" applyAlignment="1">
      <alignment/>
    </xf>
    <xf numFmtId="9" fontId="54" fillId="0" borderId="17" xfId="75" applyFont="1" applyBorder="1" applyAlignment="1">
      <alignment/>
    </xf>
    <xf numFmtId="0" fontId="54" fillId="0" borderId="0" xfId="0" applyFont="1" applyAlignment="1">
      <alignment wrapText="1"/>
    </xf>
    <xf numFmtId="0" fontId="55" fillId="0" borderId="0" xfId="0" applyFont="1" applyAlignment="1">
      <alignment horizontal="center"/>
    </xf>
    <xf numFmtId="170" fontId="54" fillId="0" borderId="0" xfId="51" applyFont="1" applyAlignment="1">
      <alignment/>
    </xf>
    <xf numFmtId="9" fontId="54" fillId="0" borderId="0" xfId="75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188" fontId="4" fillId="0" borderId="0" xfId="63" applyNumberFormat="1" applyFont="1" applyBorder="1">
      <alignment/>
      <protection/>
    </xf>
    <xf numFmtId="188" fontId="4" fillId="0" borderId="29" xfId="63" applyNumberFormat="1" applyFont="1" applyBorder="1">
      <alignment/>
      <protection/>
    </xf>
    <xf numFmtId="0" fontId="5" fillId="0" borderId="10" xfId="63" applyFont="1" applyBorder="1">
      <alignment/>
      <protection/>
    </xf>
    <xf numFmtId="0" fontId="5" fillId="0" borderId="0" xfId="63" applyFont="1" applyBorder="1">
      <alignment/>
      <protection/>
    </xf>
    <xf numFmtId="0" fontId="6" fillId="0" borderId="12" xfId="63" applyFont="1" applyBorder="1">
      <alignment/>
      <protection/>
    </xf>
    <xf numFmtId="0" fontId="6" fillId="0" borderId="0" xfId="63" applyFont="1" applyBorder="1">
      <alignment/>
      <protection/>
    </xf>
    <xf numFmtId="0" fontId="5" fillId="0" borderId="13" xfId="63" applyFont="1" applyBorder="1">
      <alignment/>
      <protection/>
    </xf>
    <xf numFmtId="0" fontId="7" fillId="0" borderId="12" xfId="63" applyFont="1" applyBorder="1">
      <alignment/>
      <protection/>
    </xf>
    <xf numFmtId="0" fontId="5" fillId="0" borderId="12" xfId="63" applyFont="1" applyBorder="1">
      <alignment/>
      <protection/>
    </xf>
    <xf numFmtId="0" fontId="5" fillId="0" borderId="14" xfId="63" applyFont="1" applyBorder="1">
      <alignment/>
      <protection/>
    </xf>
    <xf numFmtId="189" fontId="7" fillId="0" borderId="0" xfId="63" applyNumberFormat="1" applyFont="1" applyBorder="1">
      <alignment/>
      <protection/>
    </xf>
    <xf numFmtId="0" fontId="7" fillId="0" borderId="0" xfId="63" applyFont="1" applyBorder="1">
      <alignment/>
      <protection/>
    </xf>
    <xf numFmtId="0" fontId="8" fillId="0" borderId="0" xfId="63" applyFont="1" applyBorder="1">
      <alignment/>
      <protection/>
    </xf>
    <xf numFmtId="0" fontId="9" fillId="0" borderId="15" xfId="63" applyFont="1" applyBorder="1">
      <alignment/>
      <protection/>
    </xf>
    <xf numFmtId="0" fontId="9" fillId="0" borderId="16" xfId="63" applyFont="1" applyBorder="1">
      <alignment/>
      <protection/>
    </xf>
    <xf numFmtId="0" fontId="7" fillId="0" borderId="16" xfId="63" applyFont="1" applyBorder="1">
      <alignment/>
      <protection/>
    </xf>
    <xf numFmtId="0" fontId="5" fillId="0" borderId="16" xfId="63" applyFont="1" applyBorder="1">
      <alignment/>
      <protection/>
    </xf>
    <xf numFmtId="0" fontId="5" fillId="0" borderId="17" xfId="63" applyFont="1" applyBorder="1">
      <alignment/>
      <protection/>
    </xf>
    <xf numFmtId="188" fontId="4" fillId="0" borderId="30" xfId="63" applyNumberFormat="1" applyFont="1" applyBorder="1">
      <alignment/>
      <protection/>
    </xf>
    <xf numFmtId="0" fontId="52" fillId="0" borderId="0" xfId="0" applyFont="1" applyFill="1" applyBorder="1" applyAlignment="1">
      <alignment/>
    </xf>
    <xf numFmtId="183" fontId="0" fillId="0" borderId="0" xfId="75" applyNumberFormat="1" applyFont="1" applyBorder="1" applyAlignment="1">
      <alignment/>
    </xf>
    <xf numFmtId="176" fontId="0" fillId="0" borderId="0" xfId="75" applyNumberFormat="1" applyFont="1" applyAlignment="1">
      <alignment/>
    </xf>
    <xf numFmtId="10" fontId="0" fillId="0" borderId="0" xfId="75" applyNumberFormat="1" applyFont="1" applyAlignment="1">
      <alignment/>
    </xf>
    <xf numFmtId="0" fontId="5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13" xfId="0" applyFont="1" applyBorder="1" applyAlignment="1">
      <alignment/>
    </xf>
    <xf numFmtId="0" fontId="52" fillId="0" borderId="0" xfId="0" applyFont="1" applyFill="1" applyAlignment="1">
      <alignment horizontal="center"/>
    </xf>
    <xf numFmtId="0" fontId="0" fillId="0" borderId="0" xfId="0" applyFill="1" applyAlignment="1">
      <alignment/>
    </xf>
    <xf numFmtId="195" fontId="0" fillId="0" borderId="0" xfId="53" applyFont="1" applyFill="1" applyAlignment="1">
      <alignment/>
    </xf>
    <xf numFmtId="0" fontId="52" fillId="0" borderId="0" xfId="0" applyFont="1" applyFill="1" applyAlignment="1">
      <alignment horizontal="right"/>
    </xf>
    <xf numFmtId="14" fontId="52" fillId="0" borderId="0" xfId="58" applyNumberFormat="1" applyFont="1" applyFill="1" applyAlignment="1">
      <alignment/>
    </xf>
    <xf numFmtId="0" fontId="0" fillId="0" borderId="0" xfId="0" applyFill="1" applyAlignment="1">
      <alignment horizontal="right"/>
    </xf>
    <xf numFmtId="14" fontId="52" fillId="0" borderId="0" xfId="0" applyNumberFormat="1" applyFont="1" applyFill="1" applyAlignment="1">
      <alignment/>
    </xf>
    <xf numFmtId="172" fontId="52" fillId="0" borderId="0" xfId="58" applyFont="1" applyFill="1" applyAlignment="1">
      <alignment/>
    </xf>
    <xf numFmtId="0" fontId="52" fillId="0" borderId="0" xfId="0" applyFont="1" applyFill="1" applyAlignment="1">
      <alignment/>
    </xf>
    <xf numFmtId="195" fontId="52" fillId="0" borderId="0" xfId="53" applyFont="1" applyFill="1" applyAlignment="1">
      <alignment/>
    </xf>
    <xf numFmtId="0" fontId="52" fillId="0" borderId="0" xfId="0" applyFont="1" applyFill="1" applyAlignment="1">
      <alignment/>
    </xf>
    <xf numFmtId="172" fontId="0" fillId="0" borderId="0" xfId="58" applyFont="1" applyFill="1" applyAlignment="1">
      <alignment/>
    </xf>
    <xf numFmtId="196" fontId="0" fillId="0" borderId="0" xfId="58" applyNumberFormat="1" applyFont="1" applyFill="1" applyAlignment="1">
      <alignment/>
    </xf>
    <xf numFmtId="196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52" fillId="0" borderId="0" xfId="53" applyFont="1" applyFill="1" applyAlignment="1">
      <alignment/>
    </xf>
    <xf numFmtId="196" fontId="52" fillId="0" borderId="0" xfId="58" applyNumberFormat="1" applyFont="1" applyFill="1" applyAlignment="1">
      <alignment/>
    </xf>
    <xf numFmtId="172" fontId="0" fillId="0" borderId="0" xfId="58" applyFont="1" applyFill="1" applyAlignment="1">
      <alignment horizontal="center"/>
    </xf>
    <xf numFmtId="0" fontId="0" fillId="0" borderId="0" xfId="0" applyFill="1" applyAlignment="1">
      <alignment horizontal="center"/>
    </xf>
    <xf numFmtId="168" fontId="52" fillId="0" borderId="0" xfId="0" applyNumberFormat="1" applyFont="1" applyBorder="1" applyAlignment="1">
      <alignment horizontal="center"/>
    </xf>
    <xf numFmtId="168" fontId="52" fillId="0" borderId="0" xfId="52" applyNumberFormat="1" applyFont="1" applyBorder="1" applyAlignment="1">
      <alignment horizontal="center"/>
    </xf>
    <xf numFmtId="168" fontId="0" fillId="0" borderId="0" xfId="0" applyNumberFormat="1" applyBorder="1" applyAlignment="1">
      <alignment/>
    </xf>
    <xf numFmtId="168" fontId="0" fillId="0" borderId="0" xfId="51" applyNumberFormat="1" applyFont="1" applyBorder="1" applyAlignment="1">
      <alignment/>
    </xf>
    <xf numFmtId="168" fontId="0" fillId="0" borderId="0" xfId="52" applyNumberFormat="1" applyFont="1" applyBorder="1" applyAlignment="1">
      <alignment/>
    </xf>
    <xf numFmtId="168" fontId="52" fillId="0" borderId="0" xfId="0" applyNumberFormat="1" applyFont="1" applyBorder="1" applyAlignment="1">
      <alignment/>
    </xf>
    <xf numFmtId="168" fontId="52" fillId="0" borderId="0" xfId="51" applyNumberFormat="1" applyFont="1" applyBorder="1" applyAlignment="1">
      <alignment/>
    </xf>
    <xf numFmtId="168" fontId="0" fillId="0" borderId="0" xfId="0" applyNumberFormat="1" applyAlignment="1">
      <alignment/>
    </xf>
    <xf numFmtId="168" fontId="52" fillId="0" borderId="0" xfId="52" applyNumberFormat="1" applyFont="1" applyBorder="1" applyAlignment="1">
      <alignment/>
    </xf>
    <xf numFmtId="168" fontId="0" fillId="0" borderId="0" xfId="52" applyNumberFormat="1" applyFont="1" applyBorder="1" applyAlignment="1">
      <alignment/>
    </xf>
    <xf numFmtId="168" fontId="0" fillId="0" borderId="10" xfId="51" applyNumberFormat="1" applyFont="1" applyBorder="1" applyAlignment="1">
      <alignment/>
    </xf>
    <xf numFmtId="168" fontId="0" fillId="0" borderId="16" xfId="0" applyNumberFormat="1" applyBorder="1" applyAlignment="1">
      <alignment/>
    </xf>
    <xf numFmtId="168" fontId="0" fillId="0" borderId="16" xfId="51" applyNumberFormat="1" applyFont="1" applyBorder="1" applyAlignment="1">
      <alignment/>
    </xf>
    <xf numFmtId="168" fontId="0" fillId="0" borderId="16" xfId="52" applyNumberFormat="1" applyFont="1" applyBorder="1" applyAlignment="1">
      <alignment/>
    </xf>
    <xf numFmtId="168" fontId="0" fillId="0" borderId="0" xfId="51" applyNumberFormat="1" applyFont="1" applyAlignment="1">
      <alignment/>
    </xf>
    <xf numFmtId="168" fontId="0" fillId="0" borderId="0" xfId="52" applyNumberFormat="1" applyFont="1" applyAlignment="1">
      <alignment/>
    </xf>
    <xf numFmtId="169" fontId="52" fillId="0" borderId="0" xfId="49" applyFont="1" applyBorder="1" applyAlignment="1">
      <alignment horizontal="center"/>
    </xf>
    <xf numFmtId="169" fontId="0" fillId="0" borderId="0" xfId="49" applyFont="1" applyBorder="1" applyAlignment="1">
      <alignment/>
    </xf>
    <xf numFmtId="168" fontId="52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10" fontId="0" fillId="0" borderId="0" xfId="75" applyNumberFormat="1" applyFont="1" applyAlignment="1">
      <alignment/>
    </xf>
    <xf numFmtId="0" fontId="30" fillId="0" borderId="12" xfId="0" applyFont="1" applyBorder="1" applyAlignment="1">
      <alignment/>
    </xf>
    <xf numFmtId="0" fontId="30" fillId="0" borderId="31" xfId="0" applyFont="1" applyBorder="1" applyAlignment="1">
      <alignment/>
    </xf>
    <xf numFmtId="0" fontId="30" fillId="0" borderId="0" xfId="0" applyFont="1" applyBorder="1" applyAlignment="1">
      <alignment/>
    </xf>
    <xf numFmtId="198" fontId="31" fillId="0" borderId="31" xfId="52" applyNumberFormat="1" applyFont="1" applyBorder="1" applyAlignment="1">
      <alignment/>
    </xf>
    <xf numFmtId="170" fontId="30" fillId="0" borderId="0" xfId="51" applyFont="1" applyBorder="1" applyAlignment="1">
      <alignment/>
    </xf>
    <xf numFmtId="173" fontId="30" fillId="0" borderId="32" xfId="0" applyNumberFormat="1" applyFont="1" applyBorder="1" applyAlignment="1">
      <alignment/>
    </xf>
    <xf numFmtId="173" fontId="30" fillId="0" borderId="0" xfId="0" applyNumberFormat="1" applyFont="1" applyBorder="1" applyAlignment="1">
      <alignment/>
    </xf>
    <xf numFmtId="10" fontId="30" fillId="0" borderId="31" xfId="75" applyNumberFormat="1" applyFont="1" applyFill="1" applyBorder="1" applyAlignment="1">
      <alignment/>
    </xf>
    <xf numFmtId="10" fontId="30" fillId="0" borderId="32" xfId="75" applyNumberFormat="1" applyFont="1" applyBorder="1" applyAlignment="1">
      <alignment/>
    </xf>
    <xf numFmtId="10" fontId="30" fillId="0" borderId="31" xfId="75" applyNumberFormat="1" applyFont="1" applyBorder="1" applyAlignment="1">
      <alignment/>
    </xf>
    <xf numFmtId="0" fontId="30" fillId="0" borderId="31" xfId="0" applyNumberFormat="1" applyFont="1" applyBorder="1" applyAlignment="1">
      <alignment/>
    </xf>
    <xf numFmtId="0" fontId="31" fillId="0" borderId="13" xfId="0" applyFont="1" applyBorder="1" applyAlignment="1">
      <alignment/>
    </xf>
    <xf numFmtId="0" fontId="30" fillId="34" borderId="33" xfId="0" applyFont="1" applyFill="1" applyBorder="1" applyAlignment="1">
      <alignment/>
    </xf>
    <xf numFmtId="0" fontId="30" fillId="34" borderId="34" xfId="0" applyFont="1" applyFill="1" applyBorder="1" applyAlignment="1">
      <alignment/>
    </xf>
    <xf numFmtId="198" fontId="31" fillId="34" borderId="33" xfId="52" applyNumberFormat="1" applyFont="1" applyFill="1" applyBorder="1" applyAlignment="1">
      <alignment horizontal="center"/>
    </xf>
    <xf numFmtId="0" fontId="30" fillId="34" borderId="34" xfId="51" applyNumberFormat="1" applyFont="1" applyFill="1" applyBorder="1" applyAlignment="1">
      <alignment horizontal="center"/>
    </xf>
    <xf numFmtId="0" fontId="30" fillId="34" borderId="33" xfId="51" applyNumberFormat="1" applyFont="1" applyFill="1" applyBorder="1" applyAlignment="1">
      <alignment horizontal="center"/>
    </xf>
    <xf numFmtId="10" fontId="30" fillId="34" borderId="33" xfId="75" applyNumberFormat="1" applyFont="1" applyFill="1" applyBorder="1" applyAlignment="1">
      <alignment horizontal="center"/>
    </xf>
    <xf numFmtId="0" fontId="30" fillId="34" borderId="34" xfId="0" applyFont="1" applyFill="1" applyBorder="1" applyAlignment="1">
      <alignment horizontal="center"/>
    </xf>
    <xf numFmtId="10" fontId="30" fillId="0" borderId="33" xfId="75" applyNumberFormat="1" applyFont="1" applyFill="1" applyBorder="1" applyAlignment="1">
      <alignment horizontal="center"/>
    </xf>
    <xf numFmtId="0" fontId="30" fillId="34" borderId="33" xfId="0" applyNumberFormat="1" applyFont="1" applyFill="1" applyBorder="1" applyAlignment="1">
      <alignment horizontal="center"/>
    </xf>
    <xf numFmtId="0" fontId="31" fillId="34" borderId="35" xfId="0" applyFont="1" applyFill="1" applyBorder="1" applyAlignment="1">
      <alignment horizontal="center"/>
    </xf>
    <xf numFmtId="198" fontId="31" fillId="0" borderId="32" xfId="52" applyNumberFormat="1" applyFont="1" applyBorder="1" applyAlignment="1">
      <alignment/>
    </xf>
    <xf numFmtId="10" fontId="30" fillId="0" borderId="32" xfId="75" applyNumberFormat="1" applyFont="1" applyFill="1" applyBorder="1" applyAlignment="1">
      <alignment/>
    </xf>
    <xf numFmtId="170" fontId="31" fillId="0" borderId="13" xfId="75" applyNumberFormat="1" applyFont="1" applyBorder="1" applyAlignment="1">
      <alignment/>
    </xf>
    <xf numFmtId="0" fontId="30" fillId="0" borderId="12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98" fontId="31" fillId="0" borderId="31" xfId="52" applyNumberFormat="1" applyFont="1" applyFill="1" applyBorder="1" applyAlignment="1">
      <alignment/>
    </xf>
    <xf numFmtId="170" fontId="30" fillId="0" borderId="0" xfId="51" applyFont="1" applyFill="1" applyBorder="1" applyAlignment="1">
      <alignment/>
    </xf>
    <xf numFmtId="173" fontId="30" fillId="0" borderId="31" xfId="0" applyNumberFormat="1" applyFont="1" applyFill="1" applyBorder="1" applyAlignment="1">
      <alignment/>
    </xf>
    <xf numFmtId="173" fontId="30" fillId="0" borderId="0" xfId="0" applyNumberFormat="1" applyFont="1" applyFill="1" applyBorder="1" applyAlignment="1">
      <alignment/>
    </xf>
    <xf numFmtId="10" fontId="30" fillId="0" borderId="0" xfId="75" applyNumberFormat="1" applyFont="1" applyFill="1" applyBorder="1" applyAlignment="1">
      <alignment/>
    </xf>
    <xf numFmtId="0" fontId="31" fillId="0" borderId="13" xfId="0" applyFont="1" applyFill="1" applyBorder="1" applyAlignment="1">
      <alignment/>
    </xf>
    <xf numFmtId="170" fontId="30" fillId="0" borderId="0" xfId="0" applyNumberFormat="1" applyFont="1" applyFill="1" applyBorder="1" applyAlignment="1">
      <alignment/>
    </xf>
    <xf numFmtId="173" fontId="30" fillId="0" borderId="31" xfId="51" applyNumberFormat="1" applyFont="1" applyFill="1" applyBorder="1" applyAlignment="1">
      <alignment/>
    </xf>
    <xf numFmtId="173" fontId="30" fillId="0" borderId="0" xfId="51" applyNumberFormat="1" applyFont="1" applyFill="1" applyBorder="1" applyAlignment="1">
      <alignment/>
    </xf>
    <xf numFmtId="10" fontId="0" fillId="0" borderId="31" xfId="75" applyNumberFormat="1" applyFont="1" applyFill="1" applyBorder="1" applyAlignment="1">
      <alignment/>
    </xf>
    <xf numFmtId="10" fontId="31" fillId="0" borderId="31" xfId="75" applyNumberFormat="1" applyFont="1" applyFill="1" applyBorder="1" applyAlignment="1">
      <alignment/>
    </xf>
    <xf numFmtId="170" fontId="30" fillId="0" borderId="13" xfId="0" applyNumberFormat="1" applyFont="1" applyFill="1" applyBorder="1" applyAlignment="1">
      <alignment/>
    </xf>
    <xf numFmtId="0" fontId="31" fillId="0" borderId="12" xfId="0" applyFont="1" applyFill="1" applyBorder="1" applyAlignment="1">
      <alignment/>
    </xf>
    <xf numFmtId="10" fontId="31" fillId="0" borderId="0" xfId="75" applyNumberFormat="1" applyFont="1" applyFill="1" applyBorder="1" applyAlignment="1">
      <alignment/>
    </xf>
    <xf numFmtId="172" fontId="0" fillId="0" borderId="0" xfId="58" applyNumberFormat="1" applyFont="1" applyFill="1" applyBorder="1" applyAlignment="1">
      <alignment/>
    </xf>
    <xf numFmtId="172" fontId="0" fillId="0" borderId="0" xfId="51" applyNumberFormat="1" applyFont="1" applyAlignment="1">
      <alignment/>
    </xf>
    <xf numFmtId="0" fontId="31" fillId="0" borderId="0" xfId="0" applyFont="1" applyFill="1" applyBorder="1" applyAlignment="1">
      <alignment/>
    </xf>
    <xf numFmtId="170" fontId="31" fillId="0" borderId="13" xfId="0" applyNumberFormat="1" applyFont="1" applyFill="1" applyBorder="1" applyAlignment="1">
      <alignment/>
    </xf>
    <xf numFmtId="172" fontId="0" fillId="0" borderId="0" xfId="59" applyNumberFormat="1" applyFont="1" applyFill="1" applyBorder="1" applyAlignment="1">
      <alignment/>
    </xf>
    <xf numFmtId="168" fontId="0" fillId="0" borderId="0" xfId="52" applyFont="1" applyAlignment="1">
      <alignment/>
    </xf>
    <xf numFmtId="173" fontId="31" fillId="0" borderId="31" xfId="0" applyNumberFormat="1" applyFont="1" applyFill="1" applyBorder="1" applyAlignment="1">
      <alignment/>
    </xf>
    <xf numFmtId="198" fontId="30" fillId="0" borderId="31" xfId="52" applyNumberFormat="1" applyFont="1" applyFill="1" applyBorder="1" applyAlignment="1">
      <alignment/>
    </xf>
    <xf numFmtId="172" fontId="0" fillId="0" borderId="31" xfId="59" applyNumberFormat="1" applyFont="1" applyFill="1" applyBorder="1" applyAlignment="1">
      <alignment/>
    </xf>
    <xf numFmtId="170" fontId="31" fillId="0" borderId="31" xfId="51" applyFont="1" applyFill="1" applyBorder="1" applyAlignment="1">
      <alignment/>
    </xf>
    <xf numFmtId="170" fontId="31" fillId="0" borderId="0" xfId="0" applyNumberFormat="1" applyFont="1" applyFill="1" applyBorder="1" applyAlignment="1">
      <alignment/>
    </xf>
    <xf numFmtId="172" fontId="0" fillId="0" borderId="0" xfId="55" applyNumberFormat="1" applyFont="1" applyFill="1" applyBorder="1" applyAlignment="1">
      <alignment/>
    </xf>
    <xf numFmtId="170" fontId="0" fillId="0" borderId="0" xfId="51" applyFont="1" applyFill="1" applyBorder="1" applyAlignment="1">
      <alignment/>
    </xf>
    <xf numFmtId="170" fontId="31" fillId="0" borderId="0" xfId="56" applyFont="1" applyFill="1" applyBorder="1" applyAlignment="1">
      <alignment/>
    </xf>
    <xf numFmtId="170" fontId="30" fillId="33" borderId="31" xfId="51" applyFont="1" applyFill="1" applyBorder="1" applyAlignment="1">
      <alignment/>
    </xf>
    <xf numFmtId="170" fontId="30" fillId="0" borderId="31" xfId="51" applyFont="1" applyFill="1" applyBorder="1" applyAlignment="1">
      <alignment/>
    </xf>
    <xf numFmtId="172" fontId="0" fillId="0" borderId="31" xfId="51" applyNumberFormat="1" applyFont="1" applyBorder="1" applyAlignment="1">
      <alignment/>
    </xf>
    <xf numFmtId="198" fontId="0" fillId="0" borderId="31" xfId="52" applyNumberFormat="1" applyFont="1" applyFill="1" applyBorder="1" applyAlignment="1">
      <alignment/>
    </xf>
    <xf numFmtId="170" fontId="0" fillId="0" borderId="31" xfId="51" applyFont="1" applyFill="1" applyBorder="1" applyAlignment="1">
      <alignment/>
    </xf>
    <xf numFmtId="170" fontId="52" fillId="35" borderId="31" xfId="51" applyFont="1" applyFill="1" applyBorder="1" applyAlignment="1">
      <alignment/>
    </xf>
    <xf numFmtId="0" fontId="31" fillId="0" borderId="0" xfId="62" applyFont="1" applyFill="1" applyBorder="1">
      <alignment/>
      <protection/>
    </xf>
    <xf numFmtId="172" fontId="52" fillId="0" borderId="0" xfId="58" applyNumberFormat="1" applyFont="1" applyFill="1" applyBorder="1" applyAlignment="1">
      <alignment/>
    </xf>
    <xf numFmtId="198" fontId="31" fillId="0" borderId="0" xfId="52" applyNumberFormat="1" applyFont="1" applyFill="1" applyBorder="1" applyAlignment="1">
      <alignment/>
    </xf>
    <xf numFmtId="173" fontId="48" fillId="0" borderId="31" xfId="0" applyNumberFormat="1" applyFont="1" applyFill="1" applyBorder="1" applyAlignment="1">
      <alignment/>
    </xf>
    <xf numFmtId="172" fontId="0" fillId="33" borderId="31" xfId="59" applyNumberFormat="1" applyFont="1" applyFill="1" applyBorder="1" applyAlignment="1">
      <alignment/>
    </xf>
    <xf numFmtId="173" fontId="31" fillId="33" borderId="31" xfId="0" applyNumberFormat="1" applyFont="1" applyFill="1" applyBorder="1" applyAlignment="1">
      <alignment/>
    </xf>
    <xf numFmtId="170" fontId="31" fillId="0" borderId="31" xfId="51" applyNumberFormat="1" applyFont="1" applyFill="1" applyBorder="1" applyAlignment="1">
      <alignment/>
    </xf>
    <xf numFmtId="0" fontId="30" fillId="0" borderId="13" xfId="0" applyNumberFormat="1" applyFont="1" applyBorder="1" applyAlignment="1">
      <alignment/>
    </xf>
    <xf numFmtId="168" fontId="31" fillId="0" borderId="31" xfId="52" applyFont="1" applyFill="1" applyBorder="1" applyAlignment="1">
      <alignment/>
    </xf>
    <xf numFmtId="168" fontId="31" fillId="0" borderId="0" xfId="52" applyFont="1" applyFill="1" applyBorder="1" applyAlignment="1">
      <alignment/>
    </xf>
    <xf numFmtId="0" fontId="31" fillId="0" borderId="31" xfId="0" applyFont="1" applyBorder="1" applyAlignment="1">
      <alignment/>
    </xf>
    <xf numFmtId="170" fontId="30" fillId="34" borderId="32" xfId="51" applyFont="1" applyFill="1" applyBorder="1" applyAlignment="1">
      <alignment/>
    </xf>
    <xf numFmtId="170" fontId="30" fillId="34" borderId="0" xfId="51" applyFont="1" applyFill="1" applyBorder="1" applyAlignment="1">
      <alignment/>
    </xf>
    <xf numFmtId="198" fontId="30" fillId="34" borderId="31" xfId="52" applyNumberFormat="1" applyFont="1" applyFill="1" applyBorder="1" applyAlignment="1">
      <alignment/>
    </xf>
    <xf numFmtId="170" fontId="30" fillId="34" borderId="31" xfId="51" applyFont="1" applyFill="1" applyBorder="1" applyAlignment="1">
      <alignment/>
    </xf>
    <xf numFmtId="10" fontId="30" fillId="34" borderId="31" xfId="75" applyNumberFormat="1" applyFont="1" applyFill="1" applyBorder="1" applyAlignment="1">
      <alignment/>
    </xf>
    <xf numFmtId="10" fontId="30" fillId="34" borderId="13" xfId="75" applyNumberFormat="1" applyFont="1" applyFill="1" applyBorder="1" applyAlignment="1">
      <alignment/>
    </xf>
    <xf numFmtId="10" fontId="30" fillId="34" borderId="12" xfId="75" applyNumberFormat="1" applyFont="1" applyFill="1" applyBorder="1" applyAlignment="1">
      <alignment/>
    </xf>
    <xf numFmtId="170" fontId="30" fillId="34" borderId="13" xfId="51" applyFont="1" applyFill="1" applyBorder="1" applyAlignment="1">
      <alignment/>
    </xf>
    <xf numFmtId="0" fontId="30" fillId="34" borderId="13" xfId="0" applyFont="1" applyFill="1" applyBorder="1" applyAlignment="1">
      <alignment/>
    </xf>
    <xf numFmtId="0" fontId="31" fillId="0" borderId="31" xfId="0" applyFont="1" applyFill="1" applyBorder="1" applyAlignment="1">
      <alignment/>
    </xf>
    <xf numFmtId="172" fontId="0" fillId="0" borderId="31" xfId="0" applyNumberFormat="1" applyBorder="1" applyAlignment="1">
      <alignment/>
    </xf>
    <xf numFmtId="0" fontId="31" fillId="0" borderId="36" xfId="0" applyFont="1" applyFill="1" applyBorder="1" applyAlignment="1">
      <alignment/>
    </xf>
    <xf numFmtId="170" fontId="31" fillId="0" borderId="31" xfId="75" applyNumberFormat="1" applyFont="1" applyFill="1" applyBorder="1" applyAlignment="1">
      <alignment/>
    </xf>
    <xf numFmtId="0" fontId="30" fillId="34" borderId="31" xfId="0" applyFont="1" applyFill="1" applyBorder="1" applyAlignment="1">
      <alignment/>
    </xf>
    <xf numFmtId="0" fontId="31" fillId="34" borderId="0" xfId="0" applyFont="1" applyFill="1" applyBorder="1" applyAlignment="1">
      <alignment/>
    </xf>
    <xf numFmtId="198" fontId="31" fillId="34" borderId="31" xfId="52" applyNumberFormat="1" applyFont="1" applyFill="1" applyBorder="1" applyAlignment="1">
      <alignment/>
    </xf>
    <xf numFmtId="170" fontId="31" fillId="34" borderId="0" xfId="51" applyFont="1" applyFill="1" applyBorder="1" applyAlignment="1">
      <alignment/>
    </xf>
    <xf numFmtId="173" fontId="31" fillId="34" borderId="31" xfId="0" applyNumberFormat="1" applyFont="1" applyFill="1" applyBorder="1" applyAlignment="1">
      <alignment/>
    </xf>
    <xf numFmtId="173" fontId="31" fillId="34" borderId="0" xfId="0" applyNumberFormat="1" applyFont="1" applyFill="1" applyBorder="1" applyAlignment="1">
      <alignment/>
    </xf>
    <xf numFmtId="10" fontId="31" fillId="34" borderId="31" xfId="75" applyNumberFormat="1" applyFont="1" applyFill="1" applyBorder="1" applyAlignment="1">
      <alignment/>
    </xf>
    <xf numFmtId="0" fontId="31" fillId="34" borderId="13" xfId="0" applyFont="1" applyFill="1" applyBorder="1" applyAlignment="1">
      <alignment/>
    </xf>
    <xf numFmtId="0" fontId="31" fillId="0" borderId="0" xfId="0" applyFont="1" applyBorder="1" applyAlignment="1">
      <alignment/>
    </xf>
    <xf numFmtId="170" fontId="31" fillId="0" borderId="0" xfId="51" applyFont="1" applyBorder="1" applyAlignment="1">
      <alignment/>
    </xf>
    <xf numFmtId="173" fontId="31" fillId="0" borderId="31" xfId="0" applyNumberFormat="1" applyFont="1" applyBorder="1" applyAlignment="1">
      <alignment/>
    </xf>
    <xf numFmtId="10" fontId="31" fillId="0" borderId="31" xfId="75" applyNumberFormat="1" applyFont="1" applyBorder="1" applyAlignment="1">
      <alignment/>
    </xf>
    <xf numFmtId="10" fontId="30" fillId="34" borderId="31" xfId="51" applyNumberFormat="1" applyFont="1" applyFill="1" applyBorder="1" applyAlignment="1">
      <alignment/>
    </xf>
    <xf numFmtId="10" fontId="30" fillId="34" borderId="13" xfId="51" applyNumberFormat="1" applyFont="1" applyFill="1" applyBorder="1" applyAlignment="1">
      <alignment/>
    </xf>
    <xf numFmtId="10" fontId="31" fillId="0" borderId="0" xfId="75" applyNumberFormat="1" applyFont="1" applyBorder="1" applyAlignment="1">
      <alignment/>
    </xf>
    <xf numFmtId="10" fontId="31" fillId="0" borderId="13" xfId="75" applyNumberFormat="1" applyFont="1" applyBorder="1" applyAlignment="1">
      <alignment/>
    </xf>
    <xf numFmtId="0" fontId="30" fillId="0" borderId="13" xfId="0" applyFont="1" applyFill="1" applyBorder="1" applyAlignment="1">
      <alignment/>
    </xf>
    <xf numFmtId="169" fontId="31" fillId="34" borderId="31" xfId="49" applyFont="1" applyFill="1" applyBorder="1" applyAlignment="1">
      <alignment/>
    </xf>
    <xf numFmtId="1" fontId="31" fillId="34" borderId="13" xfId="51" applyNumberFormat="1" applyFont="1" applyFill="1" applyBorder="1" applyAlignment="1">
      <alignment/>
    </xf>
    <xf numFmtId="169" fontId="31" fillId="0" borderId="31" xfId="49" applyFont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30" fillId="34" borderId="0" xfId="0" applyFont="1" applyFill="1" applyBorder="1" applyAlignment="1">
      <alignment/>
    </xf>
    <xf numFmtId="173" fontId="30" fillId="34" borderId="31" xfId="0" applyNumberFormat="1" applyFont="1" applyFill="1" applyBorder="1" applyAlignment="1">
      <alignment/>
    </xf>
    <xf numFmtId="173" fontId="30" fillId="34" borderId="0" xfId="0" applyNumberFormat="1" applyFont="1" applyFill="1" applyBorder="1" applyAlignment="1">
      <alignment/>
    </xf>
    <xf numFmtId="173" fontId="31" fillId="0" borderId="13" xfId="0" applyNumberFormat="1" applyFont="1" applyBorder="1" applyAlignment="1">
      <alignment/>
    </xf>
    <xf numFmtId="170" fontId="31" fillId="0" borderId="31" xfId="51" applyFont="1" applyBorder="1" applyAlignment="1">
      <alignment/>
    </xf>
    <xf numFmtId="170" fontId="31" fillId="0" borderId="13" xfId="51" applyFont="1" applyBorder="1" applyAlignment="1">
      <alignment/>
    </xf>
    <xf numFmtId="0" fontId="31" fillId="34" borderId="31" xfId="0" applyFont="1" applyFill="1" applyBorder="1" applyAlignment="1">
      <alignment/>
    </xf>
    <xf numFmtId="10" fontId="30" fillId="34" borderId="31" xfId="0" applyNumberFormat="1" applyFont="1" applyFill="1" applyBorder="1" applyAlignment="1">
      <alignment/>
    </xf>
    <xf numFmtId="10" fontId="30" fillId="34" borderId="13" xfId="0" applyNumberFormat="1" applyFont="1" applyFill="1" applyBorder="1" applyAlignment="1">
      <alignment/>
    </xf>
    <xf numFmtId="198" fontId="30" fillId="34" borderId="13" xfId="52" applyNumberFormat="1" applyFont="1" applyFill="1" applyBorder="1" applyAlignment="1">
      <alignment/>
    </xf>
    <xf numFmtId="3" fontId="30" fillId="34" borderId="13" xfId="0" applyNumberFormat="1" applyFont="1" applyFill="1" applyBorder="1" applyAlignment="1">
      <alignment/>
    </xf>
    <xf numFmtId="0" fontId="30" fillId="34" borderId="12" xfId="0" applyFont="1" applyFill="1" applyBorder="1" applyAlignment="1">
      <alignment/>
    </xf>
    <xf numFmtId="198" fontId="31" fillId="0" borderId="13" xfId="52" applyNumberFormat="1" applyFont="1" applyBorder="1" applyAlignment="1">
      <alignment/>
    </xf>
    <xf numFmtId="0" fontId="31" fillId="0" borderId="0" xfId="51" applyNumberFormat="1" applyFont="1" applyBorder="1" applyAlignment="1">
      <alignment/>
    </xf>
    <xf numFmtId="3" fontId="31" fillId="0" borderId="13" xfId="0" applyNumberFormat="1" applyFont="1" applyBorder="1" applyAlignment="1">
      <alignment/>
    </xf>
    <xf numFmtId="0" fontId="31" fillId="0" borderId="31" xfId="51" applyNumberFormat="1" applyFont="1" applyBorder="1" applyAlignment="1">
      <alignment/>
    </xf>
    <xf numFmtId="0" fontId="31" fillId="0" borderId="15" xfId="0" applyFont="1" applyFill="1" applyBorder="1" applyAlignment="1">
      <alignment/>
    </xf>
    <xf numFmtId="0" fontId="31" fillId="0" borderId="36" xfId="0" applyFont="1" applyBorder="1" applyAlignment="1">
      <alignment/>
    </xf>
    <xf numFmtId="0" fontId="31" fillId="0" borderId="16" xfId="0" applyFont="1" applyBorder="1" applyAlignment="1">
      <alignment/>
    </xf>
    <xf numFmtId="198" fontId="31" fillId="0" borderId="36" xfId="52" applyNumberFormat="1" applyFont="1" applyBorder="1" applyAlignment="1">
      <alignment/>
    </xf>
    <xf numFmtId="170" fontId="31" fillId="0" borderId="16" xfId="51" applyFont="1" applyBorder="1" applyAlignment="1">
      <alignment/>
    </xf>
    <xf numFmtId="170" fontId="31" fillId="0" borderId="36" xfId="51" applyFont="1" applyBorder="1" applyAlignment="1">
      <alignment/>
    </xf>
    <xf numFmtId="10" fontId="0" fillId="0" borderId="36" xfId="75" applyNumberFormat="1" applyFont="1" applyFill="1" applyBorder="1" applyAlignment="1">
      <alignment/>
    </xf>
    <xf numFmtId="10" fontId="31" fillId="0" borderId="36" xfId="75" applyNumberFormat="1" applyFont="1" applyFill="1" applyBorder="1" applyAlignment="1">
      <alignment/>
    </xf>
    <xf numFmtId="170" fontId="31" fillId="0" borderId="17" xfId="51" applyFont="1" applyBorder="1" applyAlignment="1">
      <alignment/>
    </xf>
    <xf numFmtId="0" fontId="30" fillId="0" borderId="36" xfId="0" applyNumberFormat="1" applyFont="1" applyBorder="1" applyAlignment="1">
      <alignment/>
    </xf>
    <xf numFmtId="0" fontId="31" fillId="0" borderId="17" xfId="0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198" fontId="31" fillId="0" borderId="0" xfId="52" applyNumberFormat="1" applyFont="1" applyAlignment="1">
      <alignment/>
    </xf>
    <xf numFmtId="173" fontId="31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98" fontId="0" fillId="0" borderId="0" xfId="52" applyNumberFormat="1" applyFont="1" applyAlignment="1">
      <alignment/>
    </xf>
    <xf numFmtId="10" fontId="0" fillId="0" borderId="0" xfId="75" applyNumberFormat="1" applyFont="1" applyFill="1" applyAlignment="1">
      <alignment/>
    </xf>
    <xf numFmtId="0" fontId="5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99" fontId="0" fillId="0" borderId="0" xfId="52" applyNumberFormat="1" applyFont="1" applyBorder="1" applyAlignment="1">
      <alignment/>
    </xf>
    <xf numFmtId="199" fontId="0" fillId="0" borderId="0" xfId="52" applyNumberFormat="1" applyFont="1" applyBorder="1" applyAlignment="1">
      <alignment/>
    </xf>
    <xf numFmtId="170" fontId="52" fillId="0" borderId="0" xfId="51" applyFont="1" applyFill="1" applyBorder="1" applyAlignment="1">
      <alignment horizontal="center"/>
    </xf>
    <xf numFmtId="170" fontId="52" fillId="0" borderId="0" xfId="51" applyFont="1" applyFill="1" applyBorder="1" applyAlignment="1">
      <alignment/>
    </xf>
    <xf numFmtId="170" fontId="0" fillId="0" borderId="10" xfId="51" applyFont="1" applyFill="1" applyBorder="1" applyAlignment="1">
      <alignment/>
    </xf>
    <xf numFmtId="199" fontId="0" fillId="0" borderId="0" xfId="52" applyNumberFormat="1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52" fillId="0" borderId="16" xfId="0" applyFont="1" applyFill="1" applyBorder="1" applyAlignment="1">
      <alignment horizontal="center"/>
    </xf>
    <xf numFmtId="172" fontId="0" fillId="0" borderId="0" xfId="0" applyNumberFormat="1" applyFill="1" applyAlignment="1">
      <alignment/>
    </xf>
    <xf numFmtId="199" fontId="52" fillId="0" borderId="0" xfId="51" applyNumberFormat="1" applyFont="1" applyBorder="1" applyAlignment="1">
      <alignment/>
    </xf>
    <xf numFmtId="169" fontId="0" fillId="0" borderId="0" xfId="49" applyFont="1" applyBorder="1" applyAlignment="1">
      <alignment/>
    </xf>
    <xf numFmtId="169" fontId="52" fillId="0" borderId="0" xfId="49" applyFont="1" applyBorder="1" applyAlignment="1">
      <alignment horizontal="center" wrapText="1"/>
    </xf>
    <xf numFmtId="169" fontId="52" fillId="0" borderId="0" xfId="49" applyFont="1" applyBorder="1" applyAlignment="1">
      <alignment/>
    </xf>
    <xf numFmtId="169" fontId="52" fillId="0" borderId="10" xfId="49" applyFont="1" applyBorder="1" applyAlignment="1">
      <alignment/>
    </xf>
    <xf numFmtId="169" fontId="52" fillId="0" borderId="0" xfId="49" applyFont="1" applyBorder="1" applyAlignment="1">
      <alignment horizontal="left"/>
    </xf>
    <xf numFmtId="169" fontId="0" fillId="0" borderId="0" xfId="49" applyFont="1" applyAlignment="1">
      <alignment/>
    </xf>
    <xf numFmtId="169" fontId="0" fillId="0" borderId="0" xfId="49" applyFont="1" applyAlignment="1">
      <alignment/>
    </xf>
    <xf numFmtId="169" fontId="52" fillId="0" borderId="0" xfId="49" applyFont="1" applyBorder="1" applyAlignment="1">
      <alignment/>
    </xf>
    <xf numFmtId="169" fontId="0" fillId="0" borderId="16" xfId="49" applyFont="1" applyBorder="1" applyAlignment="1">
      <alignment/>
    </xf>
    <xf numFmtId="169" fontId="0" fillId="0" borderId="16" xfId="49" applyFont="1" applyBorder="1" applyAlignment="1">
      <alignment/>
    </xf>
    <xf numFmtId="0" fontId="52" fillId="0" borderId="0" xfId="0" applyFont="1" applyBorder="1" applyAlignment="1">
      <alignment horizontal="center"/>
    </xf>
    <xf numFmtId="9" fontId="0" fillId="0" borderId="10" xfId="75" applyFont="1" applyBorder="1" applyAlignment="1">
      <alignment/>
    </xf>
    <xf numFmtId="44" fontId="5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92" fontId="0" fillId="0" borderId="0" xfId="0" applyNumberFormat="1" applyFont="1" applyBorder="1" applyAlignment="1">
      <alignment/>
    </xf>
    <xf numFmtId="192" fontId="0" fillId="0" borderId="0" xfId="0" applyNumberFormat="1" applyBorder="1" applyAlignment="1">
      <alignment/>
    </xf>
    <xf numFmtId="192" fontId="0" fillId="0" borderId="10" xfId="0" applyNumberFormat="1" applyBorder="1" applyAlignment="1">
      <alignment/>
    </xf>
    <xf numFmtId="192" fontId="52" fillId="0" borderId="0" xfId="0" applyNumberFormat="1" applyFont="1" applyBorder="1" applyAlignment="1">
      <alignment horizontal="center"/>
    </xf>
    <xf numFmtId="192" fontId="52" fillId="0" borderId="0" xfId="0" applyNumberFormat="1" applyFont="1" applyBorder="1" applyAlignment="1">
      <alignment/>
    </xf>
    <xf numFmtId="192" fontId="52" fillId="0" borderId="0" xfId="0" applyNumberFormat="1" applyFont="1" applyAlignment="1">
      <alignment horizontal="center"/>
    </xf>
    <xf numFmtId="192" fontId="0" fillId="0" borderId="0" xfId="0" applyNumberFormat="1" applyFont="1" applyAlignment="1">
      <alignment horizontal="center"/>
    </xf>
    <xf numFmtId="0" fontId="52" fillId="0" borderId="0" xfId="0" applyFont="1" applyBorder="1" applyAlignment="1">
      <alignment horizontal="center"/>
    </xf>
    <xf numFmtId="172" fontId="0" fillId="33" borderId="31" xfId="51" applyNumberFormat="1" applyFont="1" applyFill="1" applyBorder="1" applyAlignment="1">
      <alignment/>
    </xf>
    <xf numFmtId="170" fontId="31" fillId="33" borderId="31" xfId="51" applyFont="1" applyFill="1" applyBorder="1" applyAlignment="1">
      <alignment/>
    </xf>
    <xf numFmtId="0" fontId="0" fillId="0" borderId="0" xfId="0" applyAlignment="1">
      <alignment horizontal="center"/>
    </xf>
    <xf numFmtId="0" fontId="55" fillId="0" borderId="0" xfId="0" applyFont="1" applyBorder="1" applyAlignment="1">
      <alignment horizontal="left"/>
    </xf>
    <xf numFmtId="0" fontId="55" fillId="0" borderId="27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0" xfId="0" applyFont="1" applyBorder="1" applyAlignment="1">
      <alignment horizontal="left" wrapText="1"/>
    </xf>
    <xf numFmtId="0" fontId="52" fillId="0" borderId="0" xfId="0" applyFont="1" applyFill="1" applyAlignment="1">
      <alignment horizontal="center"/>
    </xf>
    <xf numFmtId="0" fontId="52" fillId="0" borderId="0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27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168" fontId="52" fillId="0" borderId="0" xfId="0" applyNumberFormat="1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13" xfId="0" applyFont="1" applyBorder="1" applyAlignment="1">
      <alignment horizontal="left"/>
    </xf>
    <xf numFmtId="0" fontId="52" fillId="0" borderId="28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30" fillId="34" borderId="37" xfId="0" applyFont="1" applyFill="1" applyBorder="1" applyAlignment="1">
      <alignment horizontal="center"/>
    </xf>
    <xf numFmtId="0" fontId="30" fillId="34" borderId="34" xfId="0" applyFont="1" applyFill="1" applyBorder="1" applyAlignment="1">
      <alignment horizontal="center"/>
    </xf>
    <xf numFmtId="0" fontId="30" fillId="34" borderId="35" xfId="0" applyFont="1" applyFill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169" fontId="52" fillId="0" borderId="0" xfId="49" applyFont="1" applyBorder="1" applyAlignment="1">
      <alignment horizontal="left"/>
    </xf>
    <xf numFmtId="0" fontId="30" fillId="0" borderId="0" xfId="0" applyFont="1" applyAlignment="1">
      <alignment horizontal="center"/>
    </xf>
    <xf numFmtId="0" fontId="3" fillId="0" borderId="0" xfId="63" applyFont="1" applyAlignment="1">
      <alignment horizontal="center"/>
      <protection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[0] 2" xfId="53"/>
    <cellStyle name="Moneda 10 2" xfId="54"/>
    <cellStyle name="Moneda 2" xfId="55"/>
    <cellStyle name="Moneda 2 2" xfId="56"/>
    <cellStyle name="Moneda 3" xfId="57"/>
    <cellStyle name="Moneda 4" xfId="58"/>
    <cellStyle name="Moneda 9" xfId="59"/>
    <cellStyle name="Moneda 91" xfId="60"/>
    <cellStyle name="Neutral" xfId="61"/>
    <cellStyle name="Normal 2" xfId="62"/>
    <cellStyle name="Normal 2 2" xfId="63"/>
    <cellStyle name="Normal 2 3" xfId="64"/>
    <cellStyle name="Normal 2 4" xfId="65"/>
    <cellStyle name="Normal 2 5" xfId="66"/>
    <cellStyle name="Normal 2 6" xfId="67"/>
    <cellStyle name="Normal 3 2" xfId="68"/>
    <cellStyle name="Normal 3 3" xfId="69"/>
    <cellStyle name="Normal 3 4" xfId="70"/>
    <cellStyle name="Normal 3 5" xfId="71"/>
    <cellStyle name="Normal 3 6" xfId="72"/>
    <cellStyle name="Normal 4" xfId="73"/>
    <cellStyle name="Notas" xfId="74"/>
    <cellStyle name="Percent" xfId="75"/>
    <cellStyle name="Porcentual 2" xfId="76"/>
    <cellStyle name="Porcentual 8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otal" xfId="8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pivotCacheDefinition" Target="pivotCache/pivotCacheDefinition1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%20pc\Downloads\BALANCE%20DICIEMBR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OOPERATIVA\OCTU\INFORMES%202014-2013%20OCTU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DOWS%207\Desktop\DEMO%20%20-%20Flujo%20Efectivo%20Automatizado%20en%20Excel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DOWS%207\Desktop\INFORMES%20ASAMBLEACCC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DOWS%207\AppData\Local\Microsoft\Windows\Temporary%20Internet%20Files\Content.Outlook\7QI7P8DU\INFORMES%20ASAMBLEA%20(5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IIF\PROYECTO%20ESFA%20JUAN%20DAVID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WINDOWS%207\AppData\Local\Microsoft\Windows\Temporary%20Internet%20Files\Content.Outlook\7QI7P8DU\PROYECTO%20ESFA%20ENERO%201%202015%20CAFINORT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ocuments\JUAND\A&#209;O%202016\IG%20COOPERATIVA\IG%20DICIEMB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 2013-2014"/>
      <sheetName val="BALANCES 2013-2014 ajustado"/>
      <sheetName val="PYG"/>
      <sheetName val="CAFE"/>
      <sheetName val="PYG AJUSTADO"/>
      <sheetName val="RESUMEN INFORME AUDITORIA "/>
    </sheetNames>
    <sheetDataSet>
      <sheetData sheetId="5">
        <row r="4">
          <cell r="D4">
            <v>85473748.14</v>
          </cell>
        </row>
        <row r="10">
          <cell r="D10">
            <v>11000000</v>
          </cell>
        </row>
        <row r="14">
          <cell r="D1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 2013-2014"/>
      <sheetName val="PYG DETALLE  OCT 2013-2014"/>
      <sheetName val="GASTOS ADMON"/>
      <sheetName val="PYG CAFE-FRIAS"/>
      <sheetName val="PYG FERT-FRIAS "/>
      <sheetName val="PYG CAFE -HERVEO"/>
      <sheetName val="PYG FERT -HERVEO "/>
      <sheetName val="PYG CAFE -PADUA"/>
      <sheetName val="PYG FERT -PADUA"/>
      <sheetName val="PYG CAFE FRESNO"/>
      <sheetName val="PYG FERT FRESNO"/>
      <sheetName val="PYG PALOCABILDO"/>
      <sheetName val="PYG FERT PALO"/>
      <sheetName val="PYG TABLAZO"/>
      <sheetName val="2013"/>
      <sheetName val="2014"/>
      <sheetName val="Hoja1"/>
    </sheetNames>
    <sheetDataSet>
      <sheetData sheetId="2">
        <row r="20">
          <cell r="G20" t="str">
            <v>  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apital_Trabajo"/>
      <sheetName val="Flujo_Efectivo"/>
      <sheetName val="Cambios_Patrimonio"/>
    </sheetNames>
    <sheetDataSet>
      <sheetData sheetId="1">
        <row r="24">
          <cell r="E24">
            <v>-122892830</v>
          </cell>
        </row>
        <row r="25">
          <cell r="E25">
            <v>-77371555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YG AJUSTADO"/>
      <sheetName val="EST RESULTADOS"/>
      <sheetName val="EST RESULTADOS (2)"/>
      <sheetName val="ESTADO DE CAMBIOS EN PATRIMONIO"/>
      <sheetName val="BALANCE GENERAL 2014"/>
      <sheetName val="BALANCES 2013-2014"/>
      <sheetName val="ESTA CAMBIO SITUA 2014"/>
      <sheetName val="CAPITAL 2014"/>
      <sheetName val="FLUJOS DE EFECTIVO"/>
      <sheetName val="INDICES FINANCIEROS"/>
      <sheetName val="AÑO 2013-2012"/>
      <sheetName val="Hoja1"/>
    </sheetNames>
    <sheetDataSet>
      <sheetData sheetId="4">
        <row r="11">
          <cell r="H11">
            <v>37932.20999997854</v>
          </cell>
        </row>
        <row r="13">
          <cell r="H13">
            <v>-163203117.05000007</v>
          </cell>
        </row>
        <row r="14">
          <cell r="H14">
            <v>29174432</v>
          </cell>
        </row>
        <row r="15">
          <cell r="H15">
            <v>-146110487.64999998</v>
          </cell>
        </row>
        <row r="37">
          <cell r="H37">
            <v>62473166</v>
          </cell>
        </row>
        <row r="38">
          <cell r="H38">
            <v>-193608241.78999996</v>
          </cell>
        </row>
        <row r="39">
          <cell r="H39">
            <v>5234875.23</v>
          </cell>
        </row>
        <row r="40">
          <cell r="H40">
            <v>-32990076</v>
          </cell>
        </row>
      </sheetData>
      <sheetData sheetId="5">
        <row r="4">
          <cell r="D4">
            <v>5827189</v>
          </cell>
        </row>
        <row r="5">
          <cell r="D5">
            <v>197700320</v>
          </cell>
        </row>
        <row r="6">
          <cell r="D6">
            <v>150534321</v>
          </cell>
        </row>
        <row r="8">
          <cell r="D8">
            <v>1178173302</v>
          </cell>
        </row>
        <row r="9">
          <cell r="D9">
            <v>-7791970.86</v>
          </cell>
        </row>
        <row r="10">
          <cell r="D10">
            <v>157422556</v>
          </cell>
        </row>
        <row r="11">
          <cell r="D11">
            <v>-51894408</v>
          </cell>
        </row>
        <row r="12">
          <cell r="D12">
            <v>-1574226</v>
          </cell>
        </row>
        <row r="13">
          <cell r="D13">
            <v>62985654</v>
          </cell>
        </row>
        <row r="14">
          <cell r="D14">
            <v>0</v>
          </cell>
        </row>
        <row r="15">
          <cell r="D15">
            <v>30491962</v>
          </cell>
        </row>
        <row r="16">
          <cell r="D16">
            <v>73397591</v>
          </cell>
        </row>
        <row r="17">
          <cell r="D17">
            <v>4951364</v>
          </cell>
        </row>
        <row r="18">
          <cell r="D18">
            <v>800466.63</v>
          </cell>
        </row>
        <row r="19">
          <cell r="D19">
            <v>1646458.78</v>
          </cell>
        </row>
        <row r="20">
          <cell r="D20">
            <v>126495880.11</v>
          </cell>
        </row>
        <row r="21">
          <cell r="D21">
            <v>-9448640</v>
          </cell>
        </row>
        <row r="22">
          <cell r="D22">
            <v>-3628996</v>
          </cell>
        </row>
        <row r="23">
          <cell r="D23">
            <v>-21755346.78</v>
          </cell>
        </row>
        <row r="30">
          <cell r="D30">
            <v>26760190</v>
          </cell>
        </row>
        <row r="31">
          <cell r="D31">
            <v>317303216.09</v>
          </cell>
        </row>
        <row r="32">
          <cell r="D32">
            <v>76442003</v>
          </cell>
        </row>
        <row r="33">
          <cell r="D33">
            <v>11591340</v>
          </cell>
        </row>
        <row r="34">
          <cell r="D34">
            <v>73990174</v>
          </cell>
        </row>
        <row r="35">
          <cell r="D35">
            <v>149396507</v>
          </cell>
        </row>
        <row r="36">
          <cell r="D36">
            <v>3239000</v>
          </cell>
        </row>
        <row r="37">
          <cell r="D37">
            <v>-396033037</v>
          </cell>
        </row>
        <row r="40">
          <cell r="D40">
            <v>44209157</v>
          </cell>
        </row>
        <row r="41">
          <cell r="D41">
            <v>32406470</v>
          </cell>
        </row>
        <row r="42">
          <cell r="D42">
            <v>3472655</v>
          </cell>
        </row>
        <row r="43">
          <cell r="D43">
            <v>505423276</v>
          </cell>
        </row>
        <row r="44">
          <cell r="D44">
            <v>121828197.02</v>
          </cell>
        </row>
        <row r="45">
          <cell r="D45">
            <v>448478286.02</v>
          </cell>
        </row>
        <row r="46">
          <cell r="D46">
            <v>-262203170</v>
          </cell>
        </row>
        <row r="53">
          <cell r="D53">
            <v>290423450</v>
          </cell>
        </row>
        <row r="54">
          <cell r="D54">
            <v>221771297</v>
          </cell>
        </row>
        <row r="55">
          <cell r="D55">
            <v>957633741</v>
          </cell>
        </row>
        <row r="56">
          <cell r="D56">
            <v>1554516</v>
          </cell>
        </row>
        <row r="57">
          <cell r="D57">
            <v>6656143</v>
          </cell>
          <cell r="F57">
            <v>8541887</v>
          </cell>
        </row>
        <row r="58">
          <cell r="D58">
            <v>3071532</v>
          </cell>
        </row>
        <row r="59">
          <cell r="D59">
            <v>8704878</v>
          </cell>
        </row>
        <row r="61">
          <cell r="D61">
            <v>3965000</v>
          </cell>
        </row>
        <row r="62">
          <cell r="D62">
            <v>52167.81</v>
          </cell>
        </row>
        <row r="63">
          <cell r="D63">
            <v>7816788</v>
          </cell>
        </row>
        <row r="64">
          <cell r="D64">
            <v>106798915</v>
          </cell>
        </row>
        <row r="68">
          <cell r="D68">
            <v>29768000</v>
          </cell>
        </row>
        <row r="69">
          <cell r="D69">
            <v>9197593</v>
          </cell>
        </row>
        <row r="71">
          <cell r="D71">
            <v>17145048</v>
          </cell>
        </row>
        <row r="72">
          <cell r="D72">
            <v>3285275</v>
          </cell>
        </row>
        <row r="77">
          <cell r="D77">
            <v>352287249.32</v>
          </cell>
        </row>
        <row r="78">
          <cell r="D78">
            <v>0</v>
          </cell>
        </row>
        <row r="79">
          <cell r="D79">
            <v>151864711</v>
          </cell>
        </row>
        <row r="80">
          <cell r="D80">
            <v>378056300.12</v>
          </cell>
        </row>
        <row r="81">
          <cell r="D81">
            <v>88573421.98</v>
          </cell>
        </row>
        <row r="82">
          <cell r="D82">
            <v>10562811</v>
          </cell>
        </row>
        <row r="83">
          <cell r="D83">
            <v>127455053.27</v>
          </cell>
        </row>
        <row r="84">
          <cell r="D84">
            <v>4285400</v>
          </cell>
        </row>
        <row r="85">
          <cell r="D85">
            <v>448478286.02</v>
          </cell>
        </row>
        <row r="86">
          <cell r="D86">
            <v>-247865371.34</v>
          </cell>
        </row>
        <row r="87">
          <cell r="D87">
            <v>69095537.09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LANCES 2013-2014"/>
      <sheetName val="BALANCE GENERAL"/>
      <sheetName val="PYG AJUSTADO"/>
      <sheetName val="EST RESULTADOS"/>
      <sheetName val="EST RESULTADOS (2)"/>
      <sheetName val="ESTADO DE CAMBIOS EN PATRIMONIO"/>
      <sheetName val="ESTA CAMBIOS SITUACION FINACIER"/>
      <sheetName val="ANALISIS CAP TRABAJO"/>
      <sheetName val="FLUJOS DE EFECTIVO"/>
      <sheetName val="INDICES FINANCIEROS"/>
      <sheetName val="AÑO 2013-201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T"/>
      <sheetName val="AJUSTES"/>
      <sheetName val="RECLASIFICACIONES"/>
      <sheetName val="HT (2)"/>
      <sheetName val="Hoja2"/>
      <sheetName val="Hoja3"/>
      <sheetName val="CDT"/>
      <sheetName val="PRESENTACION"/>
      <sheetName val="Hoja6"/>
    </sheetNames>
    <sheetDataSet>
      <sheetData sheetId="0">
        <row r="3">
          <cell r="H3">
            <v>15293132</v>
          </cell>
          <cell r="N3">
            <v>15293132</v>
          </cell>
        </row>
        <row r="4">
          <cell r="H4">
            <v>0</v>
          </cell>
          <cell r="N4">
            <v>0</v>
          </cell>
        </row>
        <row r="5">
          <cell r="H5">
            <v>0</v>
          </cell>
          <cell r="N5">
            <v>0</v>
          </cell>
        </row>
        <row r="6">
          <cell r="H6">
            <v>0</v>
          </cell>
          <cell r="N6">
            <v>0</v>
          </cell>
        </row>
        <row r="7">
          <cell r="H7">
            <v>0</v>
          </cell>
          <cell r="N7">
            <v>0</v>
          </cell>
        </row>
        <row r="8">
          <cell r="H8">
            <v>600000</v>
          </cell>
          <cell r="N8">
            <v>600000</v>
          </cell>
        </row>
        <row r="9">
          <cell r="H9">
            <v>19790298</v>
          </cell>
          <cell r="N9">
            <v>26752764</v>
          </cell>
        </row>
        <row r="10">
          <cell r="H10">
            <v>72249141</v>
          </cell>
          <cell r="N10">
            <v>0</v>
          </cell>
        </row>
        <row r="11">
          <cell r="H11">
            <v>562</v>
          </cell>
          <cell r="N11">
            <v>562</v>
          </cell>
        </row>
        <row r="12">
          <cell r="H12">
            <v>101335</v>
          </cell>
          <cell r="N12">
            <v>101335</v>
          </cell>
        </row>
        <row r="13">
          <cell r="H13">
            <v>7411505</v>
          </cell>
          <cell r="N13">
            <v>4471205</v>
          </cell>
        </row>
        <row r="14">
          <cell r="H14">
            <v>799702</v>
          </cell>
          <cell r="N14">
            <v>799702</v>
          </cell>
        </row>
        <row r="15">
          <cell r="H15">
            <v>659621</v>
          </cell>
          <cell r="N15">
            <v>659621</v>
          </cell>
        </row>
        <row r="16">
          <cell r="H16">
            <v>19171437</v>
          </cell>
          <cell r="N16">
            <v>19171437</v>
          </cell>
        </row>
        <row r="17">
          <cell r="H17">
            <v>12931</v>
          </cell>
          <cell r="N17">
            <v>12931</v>
          </cell>
        </row>
        <row r="18">
          <cell r="H18">
            <v>1331796</v>
          </cell>
          <cell r="N18">
            <v>1331796</v>
          </cell>
        </row>
        <row r="19">
          <cell r="H19">
            <v>6801060</v>
          </cell>
          <cell r="N19">
            <v>6801060</v>
          </cell>
        </row>
        <row r="20">
          <cell r="H20">
            <v>25403787</v>
          </cell>
          <cell r="N20">
            <v>25403787</v>
          </cell>
        </row>
        <row r="21">
          <cell r="H21">
            <v>1715191</v>
          </cell>
          <cell r="N21">
            <v>1715191</v>
          </cell>
        </row>
        <row r="22">
          <cell r="H22">
            <v>67382979</v>
          </cell>
          <cell r="N22">
            <v>67382979</v>
          </cell>
        </row>
        <row r="23">
          <cell r="H23">
            <v>2325472</v>
          </cell>
          <cell r="N23">
            <v>2325472</v>
          </cell>
        </row>
        <row r="24">
          <cell r="H24">
            <v>0</v>
          </cell>
          <cell r="N24">
            <v>72249141</v>
          </cell>
        </row>
        <row r="25">
          <cell r="H25">
            <v>65547211</v>
          </cell>
          <cell r="N25">
            <v>65547211</v>
          </cell>
        </row>
        <row r="26">
          <cell r="H26">
            <v>12194472</v>
          </cell>
          <cell r="N26">
            <v>12194472</v>
          </cell>
        </row>
        <row r="27">
          <cell r="H27">
            <v>4029329</v>
          </cell>
          <cell r="N27">
            <v>4029329</v>
          </cell>
        </row>
        <row r="28">
          <cell r="H28">
            <v>17500262</v>
          </cell>
          <cell r="N28">
            <v>17500262</v>
          </cell>
        </row>
        <row r="29">
          <cell r="H29">
            <v>13778534</v>
          </cell>
          <cell r="N29">
            <v>13778534</v>
          </cell>
        </row>
        <row r="30">
          <cell r="H30">
            <v>0</v>
          </cell>
          <cell r="N30">
            <v>0</v>
          </cell>
        </row>
        <row r="31">
          <cell r="H31">
            <v>0</v>
          </cell>
          <cell r="N31">
            <v>0</v>
          </cell>
        </row>
        <row r="32">
          <cell r="H32">
            <v>0</v>
          </cell>
          <cell r="N32">
            <v>0</v>
          </cell>
        </row>
        <row r="33">
          <cell r="H33">
            <v>0</v>
          </cell>
          <cell r="N33">
            <v>0</v>
          </cell>
        </row>
        <row r="34">
          <cell r="H34">
            <v>1100000</v>
          </cell>
          <cell r="N34">
            <v>1143324</v>
          </cell>
        </row>
        <row r="35">
          <cell r="H35">
            <v>18500116</v>
          </cell>
          <cell r="N35">
            <v>18500116</v>
          </cell>
        </row>
        <row r="36">
          <cell r="H36">
            <v>71807038</v>
          </cell>
          <cell r="N36">
            <v>71807038</v>
          </cell>
        </row>
        <row r="37">
          <cell r="H37">
            <v>23778472</v>
          </cell>
          <cell r="N37">
            <v>23778472</v>
          </cell>
        </row>
        <row r="38">
          <cell r="H38">
            <v>12351847</v>
          </cell>
          <cell r="N38">
            <v>12351847</v>
          </cell>
        </row>
        <row r="39">
          <cell r="H39">
            <v>85026510</v>
          </cell>
          <cell r="N39">
            <v>85026510</v>
          </cell>
        </row>
        <row r="40">
          <cell r="H40">
            <v>0</v>
          </cell>
          <cell r="N40">
            <v>0</v>
          </cell>
        </row>
        <row r="41">
          <cell r="H41">
            <v>31318665</v>
          </cell>
          <cell r="N41">
            <v>31318665</v>
          </cell>
        </row>
        <row r="42">
          <cell r="H42">
            <v>0</v>
          </cell>
          <cell r="N42">
            <v>0</v>
          </cell>
        </row>
        <row r="43">
          <cell r="H43">
            <v>0</v>
          </cell>
          <cell r="N43">
            <v>0</v>
          </cell>
        </row>
        <row r="44">
          <cell r="H44">
            <v>0</v>
          </cell>
          <cell r="N44">
            <v>0</v>
          </cell>
        </row>
        <row r="45">
          <cell r="H45">
            <v>28080436</v>
          </cell>
          <cell r="N45">
            <v>28080436</v>
          </cell>
        </row>
        <row r="46">
          <cell r="H46">
            <v>23456</v>
          </cell>
          <cell r="N46">
            <v>23456</v>
          </cell>
        </row>
        <row r="47">
          <cell r="H47">
            <v>10430</v>
          </cell>
          <cell r="N47">
            <v>10430</v>
          </cell>
        </row>
        <row r="48">
          <cell r="H48">
            <v>13262094</v>
          </cell>
          <cell r="N48">
            <v>13262094</v>
          </cell>
        </row>
        <row r="49">
          <cell r="H49">
            <v>34132727</v>
          </cell>
          <cell r="N49">
            <v>34132727</v>
          </cell>
        </row>
        <row r="50">
          <cell r="H50">
            <v>0</v>
          </cell>
          <cell r="N50">
            <v>0</v>
          </cell>
        </row>
        <row r="51">
          <cell r="H51">
            <v>0</v>
          </cell>
          <cell r="N51">
            <v>0</v>
          </cell>
        </row>
        <row r="52">
          <cell r="H52">
            <v>0</v>
          </cell>
          <cell r="N52">
            <v>0</v>
          </cell>
        </row>
        <row r="53">
          <cell r="H53">
            <v>0</v>
          </cell>
          <cell r="N53">
            <v>0</v>
          </cell>
        </row>
        <row r="54">
          <cell r="H54">
            <v>0</v>
          </cell>
          <cell r="N54">
            <v>0</v>
          </cell>
        </row>
        <row r="55">
          <cell r="H55">
            <v>1222551</v>
          </cell>
          <cell r="N55">
            <v>1222551</v>
          </cell>
        </row>
        <row r="56">
          <cell r="H56">
            <v>0</v>
          </cell>
          <cell r="N56">
            <v>0</v>
          </cell>
        </row>
        <row r="57">
          <cell r="H57">
            <v>475381127</v>
          </cell>
          <cell r="N57">
            <v>475381127</v>
          </cell>
        </row>
        <row r="58">
          <cell r="H58">
            <v>25439284</v>
          </cell>
          <cell r="N58">
            <v>25439284</v>
          </cell>
        </row>
        <row r="59">
          <cell r="H59">
            <v>28333118</v>
          </cell>
          <cell r="N59">
            <v>28333118</v>
          </cell>
        </row>
        <row r="60">
          <cell r="H60">
            <v>22928319</v>
          </cell>
          <cell r="N60">
            <v>22928319</v>
          </cell>
        </row>
        <row r="61">
          <cell r="H61">
            <v>147069194</v>
          </cell>
          <cell r="N61">
            <v>147069194</v>
          </cell>
        </row>
        <row r="62">
          <cell r="I62">
            <v>11487172</v>
          </cell>
          <cell r="N62">
            <v>0</v>
          </cell>
        </row>
        <row r="64">
          <cell r="H64">
            <v>167599802</v>
          </cell>
          <cell r="N64">
            <v>167599802</v>
          </cell>
        </row>
        <row r="65">
          <cell r="I65">
            <v>76653</v>
          </cell>
          <cell r="N65">
            <v>-76653</v>
          </cell>
        </row>
        <row r="66">
          <cell r="I66">
            <v>40837</v>
          </cell>
          <cell r="N66">
            <v>-40837</v>
          </cell>
        </row>
        <row r="67">
          <cell r="I67">
            <v>151363</v>
          </cell>
          <cell r="N67">
            <v>-151363</v>
          </cell>
        </row>
        <row r="68">
          <cell r="I68">
            <v>658914</v>
          </cell>
          <cell r="N68">
            <v>-658914</v>
          </cell>
        </row>
        <row r="69">
          <cell r="I69">
            <v>1127820</v>
          </cell>
          <cell r="N69">
            <v>-1127820</v>
          </cell>
        </row>
        <row r="70">
          <cell r="I70">
            <v>10426769</v>
          </cell>
          <cell r="N70">
            <v>-10426769</v>
          </cell>
        </row>
        <row r="71">
          <cell r="I71">
            <v>1975181</v>
          </cell>
          <cell r="N71">
            <v>-1975181</v>
          </cell>
        </row>
        <row r="72">
          <cell r="I72">
            <v>8849348</v>
          </cell>
          <cell r="N72">
            <v>-8849348</v>
          </cell>
        </row>
        <row r="73">
          <cell r="I73">
            <v>9488565</v>
          </cell>
          <cell r="N73">
            <v>-9488565</v>
          </cell>
        </row>
        <row r="74">
          <cell r="I74">
            <v>633835</v>
          </cell>
          <cell r="N74">
            <v>-633835</v>
          </cell>
        </row>
        <row r="75">
          <cell r="I75">
            <v>80148</v>
          </cell>
          <cell r="N75">
            <v>-80148</v>
          </cell>
        </row>
        <row r="76">
          <cell r="I76">
            <v>461879</v>
          </cell>
          <cell r="N76">
            <v>-461879</v>
          </cell>
        </row>
        <row r="77">
          <cell r="I77">
            <v>500136</v>
          </cell>
          <cell r="N77">
            <v>-500136</v>
          </cell>
        </row>
        <row r="78">
          <cell r="H78">
            <v>60510654</v>
          </cell>
          <cell r="N78">
            <v>60510654</v>
          </cell>
        </row>
        <row r="80">
          <cell r="H80">
            <v>2100000</v>
          </cell>
          <cell r="N80">
            <v>2100000</v>
          </cell>
        </row>
        <row r="81">
          <cell r="H81">
            <v>465526</v>
          </cell>
          <cell r="N81">
            <v>465526</v>
          </cell>
        </row>
        <row r="82">
          <cell r="H82">
            <v>24015188</v>
          </cell>
          <cell r="N82">
            <v>24015188</v>
          </cell>
        </row>
        <row r="83">
          <cell r="H83">
            <v>77802456</v>
          </cell>
          <cell r="N83">
            <v>77802456</v>
          </cell>
        </row>
        <row r="84">
          <cell r="H84">
            <v>969665</v>
          </cell>
          <cell r="N84">
            <v>969665</v>
          </cell>
        </row>
        <row r="85">
          <cell r="H85">
            <v>136794</v>
          </cell>
          <cell r="N85">
            <v>136794</v>
          </cell>
        </row>
        <row r="86">
          <cell r="H86">
            <v>549242</v>
          </cell>
          <cell r="N86">
            <v>549242</v>
          </cell>
        </row>
        <row r="87">
          <cell r="H87">
            <v>668193</v>
          </cell>
          <cell r="N87">
            <v>668193</v>
          </cell>
        </row>
        <row r="88">
          <cell r="H88">
            <v>0</v>
          </cell>
          <cell r="N88">
            <v>0</v>
          </cell>
        </row>
        <row r="89">
          <cell r="H89">
            <v>256900</v>
          </cell>
          <cell r="N89">
            <v>256900</v>
          </cell>
        </row>
        <row r="90">
          <cell r="H90">
            <v>65000</v>
          </cell>
          <cell r="N90">
            <v>65000</v>
          </cell>
        </row>
        <row r="91">
          <cell r="H91">
            <v>245250</v>
          </cell>
          <cell r="N91">
            <v>245250</v>
          </cell>
        </row>
        <row r="92">
          <cell r="H92">
            <v>348600</v>
          </cell>
          <cell r="N92">
            <v>348600</v>
          </cell>
        </row>
        <row r="93">
          <cell r="H93">
            <v>888420</v>
          </cell>
          <cell r="N93">
            <v>888420</v>
          </cell>
        </row>
        <row r="94">
          <cell r="H94">
            <v>133546</v>
          </cell>
          <cell r="N94">
            <v>133546</v>
          </cell>
        </row>
        <row r="95">
          <cell r="H95">
            <v>646451</v>
          </cell>
          <cell r="N95">
            <v>646451</v>
          </cell>
        </row>
        <row r="96">
          <cell r="H96">
            <v>849718</v>
          </cell>
          <cell r="N96">
            <v>849718</v>
          </cell>
        </row>
        <row r="97">
          <cell r="H97">
            <v>551481</v>
          </cell>
          <cell r="N97">
            <v>0</v>
          </cell>
        </row>
        <row r="98">
          <cell r="H98">
            <v>217888</v>
          </cell>
          <cell r="N98">
            <v>217888</v>
          </cell>
        </row>
        <row r="99">
          <cell r="H99">
            <v>1498068</v>
          </cell>
          <cell r="N99">
            <v>1498068</v>
          </cell>
        </row>
        <row r="100">
          <cell r="H100">
            <v>38795771</v>
          </cell>
          <cell r="N100">
            <v>41736071</v>
          </cell>
        </row>
        <row r="102">
          <cell r="I102">
            <v>9448640</v>
          </cell>
          <cell r="N102">
            <v>-9448640</v>
          </cell>
        </row>
        <row r="103">
          <cell r="I103">
            <v>969665</v>
          </cell>
          <cell r="N103">
            <v>-969665</v>
          </cell>
        </row>
        <row r="104">
          <cell r="I104">
            <v>136794</v>
          </cell>
          <cell r="N104">
            <v>-136794</v>
          </cell>
        </row>
        <row r="105">
          <cell r="I105">
            <v>549242</v>
          </cell>
          <cell r="N105">
            <v>-549242</v>
          </cell>
        </row>
        <row r="106">
          <cell r="I106">
            <v>668193</v>
          </cell>
          <cell r="N106">
            <v>-668193</v>
          </cell>
        </row>
        <row r="107">
          <cell r="I107">
            <v>0</v>
          </cell>
          <cell r="N107">
            <v>0</v>
          </cell>
        </row>
        <row r="108">
          <cell r="I108">
            <v>256900</v>
          </cell>
          <cell r="N108">
            <v>-256900</v>
          </cell>
        </row>
        <row r="109">
          <cell r="I109">
            <v>65000</v>
          </cell>
          <cell r="N109">
            <v>-65000</v>
          </cell>
        </row>
        <row r="110">
          <cell r="I110">
            <v>0</v>
          </cell>
          <cell r="N110">
            <v>0</v>
          </cell>
        </row>
        <row r="111">
          <cell r="I111">
            <v>245250</v>
          </cell>
          <cell r="N111">
            <v>-245250</v>
          </cell>
        </row>
        <row r="112">
          <cell r="I112">
            <v>348600</v>
          </cell>
          <cell r="N112">
            <v>-348600</v>
          </cell>
        </row>
        <row r="113">
          <cell r="I113">
            <v>888420</v>
          </cell>
          <cell r="N113">
            <v>-888420</v>
          </cell>
        </row>
        <row r="114">
          <cell r="I114">
            <v>133546</v>
          </cell>
          <cell r="N114">
            <v>-133546</v>
          </cell>
        </row>
        <row r="115">
          <cell r="I115">
            <v>646451</v>
          </cell>
          <cell r="N115">
            <v>-646451</v>
          </cell>
        </row>
        <row r="116">
          <cell r="I116">
            <v>849718</v>
          </cell>
          <cell r="N116">
            <v>-849718</v>
          </cell>
        </row>
        <row r="117">
          <cell r="I117">
            <v>76682486</v>
          </cell>
          <cell r="N117">
            <v>-76682486</v>
          </cell>
        </row>
        <row r="118">
          <cell r="H118">
            <v>62000</v>
          </cell>
          <cell r="N118">
            <v>129168000</v>
          </cell>
        </row>
        <row r="119">
          <cell r="H119">
            <v>1500000</v>
          </cell>
          <cell r="N119">
            <v>1500000</v>
          </cell>
        </row>
        <row r="120">
          <cell r="H120">
            <v>9398190</v>
          </cell>
          <cell r="N120">
            <v>9398190</v>
          </cell>
        </row>
        <row r="121">
          <cell r="H121">
            <v>9800000</v>
          </cell>
          <cell r="N121">
            <v>9800000</v>
          </cell>
        </row>
        <row r="122">
          <cell r="H122">
            <v>6000000</v>
          </cell>
          <cell r="N122">
            <v>6000000</v>
          </cell>
        </row>
        <row r="123">
          <cell r="H123">
            <v>37909713</v>
          </cell>
          <cell r="N123">
            <v>357281999</v>
          </cell>
        </row>
        <row r="124">
          <cell r="H124">
            <v>42303161</v>
          </cell>
          <cell r="N124">
            <v>42303161</v>
          </cell>
        </row>
        <row r="125">
          <cell r="H125">
            <v>33905565</v>
          </cell>
          <cell r="N125">
            <v>33905565</v>
          </cell>
        </row>
        <row r="126">
          <cell r="H126">
            <v>89079117</v>
          </cell>
          <cell r="N126">
            <v>89079117</v>
          </cell>
        </row>
        <row r="127">
          <cell r="H127">
            <v>113538729</v>
          </cell>
          <cell r="N127">
            <v>113538729</v>
          </cell>
        </row>
        <row r="128">
          <cell r="H128">
            <v>11954395</v>
          </cell>
          <cell r="N128">
            <v>0</v>
          </cell>
        </row>
        <row r="129">
          <cell r="H129">
            <v>8403690</v>
          </cell>
          <cell r="N129">
            <v>0</v>
          </cell>
        </row>
        <row r="130">
          <cell r="H130">
            <v>4231055</v>
          </cell>
          <cell r="N130">
            <v>0</v>
          </cell>
        </row>
        <row r="131">
          <cell r="H131">
            <v>1556300</v>
          </cell>
          <cell r="N131">
            <v>0</v>
          </cell>
        </row>
        <row r="132">
          <cell r="H132">
            <v>3132560</v>
          </cell>
          <cell r="N132">
            <v>0</v>
          </cell>
        </row>
        <row r="133">
          <cell r="H133">
            <v>25583320</v>
          </cell>
          <cell r="N133">
            <v>0</v>
          </cell>
        </row>
        <row r="134">
          <cell r="H134">
            <v>1000156</v>
          </cell>
          <cell r="N134">
            <v>0</v>
          </cell>
        </row>
        <row r="135">
          <cell r="H135">
            <v>215000</v>
          </cell>
          <cell r="N135">
            <v>0</v>
          </cell>
        </row>
        <row r="136">
          <cell r="H136">
            <v>1535388</v>
          </cell>
          <cell r="N136">
            <v>0</v>
          </cell>
        </row>
        <row r="137">
          <cell r="H137">
            <v>228709</v>
          </cell>
          <cell r="N137">
            <v>0</v>
          </cell>
        </row>
        <row r="138">
          <cell r="H138">
            <v>1310000</v>
          </cell>
          <cell r="N138">
            <v>0</v>
          </cell>
        </row>
        <row r="139">
          <cell r="H139">
            <v>1951900</v>
          </cell>
          <cell r="N139">
            <v>0</v>
          </cell>
        </row>
        <row r="140">
          <cell r="H140">
            <v>700000</v>
          </cell>
          <cell r="N140">
            <v>0</v>
          </cell>
        </row>
        <row r="141">
          <cell r="H141">
            <v>59900</v>
          </cell>
          <cell r="N141">
            <v>0</v>
          </cell>
        </row>
        <row r="142">
          <cell r="H142">
            <v>2446000</v>
          </cell>
          <cell r="N142">
            <v>0</v>
          </cell>
        </row>
        <row r="143">
          <cell r="H143">
            <v>1899700</v>
          </cell>
          <cell r="N143">
            <v>0</v>
          </cell>
        </row>
        <row r="144">
          <cell r="H144">
            <v>678578</v>
          </cell>
          <cell r="N144">
            <v>0</v>
          </cell>
        </row>
        <row r="145">
          <cell r="H145">
            <v>9499949</v>
          </cell>
          <cell r="N145">
            <v>426106</v>
          </cell>
        </row>
        <row r="146">
          <cell r="H146">
            <v>3419330</v>
          </cell>
          <cell r="N146">
            <v>3419330</v>
          </cell>
        </row>
        <row r="147">
          <cell r="H147">
            <v>1330000</v>
          </cell>
          <cell r="N147">
            <v>1330000</v>
          </cell>
        </row>
        <row r="148">
          <cell r="H148">
            <v>872160</v>
          </cell>
          <cell r="N148">
            <v>872160</v>
          </cell>
        </row>
        <row r="149">
          <cell r="H149">
            <v>230000</v>
          </cell>
          <cell r="N149">
            <v>230000</v>
          </cell>
        </row>
        <row r="150">
          <cell r="H150">
            <v>1193864</v>
          </cell>
          <cell r="N150">
            <v>1193864</v>
          </cell>
        </row>
        <row r="151">
          <cell r="H151">
            <v>641840</v>
          </cell>
          <cell r="N151">
            <v>641840</v>
          </cell>
        </row>
        <row r="152">
          <cell r="H152">
            <v>1153000</v>
          </cell>
          <cell r="N152">
            <v>1153000</v>
          </cell>
        </row>
        <row r="155">
          <cell r="H155">
            <v>12805168</v>
          </cell>
          <cell r="N155">
            <v>25353497</v>
          </cell>
        </row>
        <row r="156">
          <cell r="H156">
            <v>4506875</v>
          </cell>
          <cell r="N156">
            <v>4506875</v>
          </cell>
        </row>
        <row r="157">
          <cell r="H157">
            <v>6879302</v>
          </cell>
          <cell r="N157">
            <v>6879302</v>
          </cell>
        </row>
        <row r="158">
          <cell r="H158">
            <v>4079217</v>
          </cell>
          <cell r="N158">
            <v>4079217</v>
          </cell>
        </row>
        <row r="159">
          <cell r="H159">
            <v>9436490</v>
          </cell>
          <cell r="N159">
            <v>9436490</v>
          </cell>
        </row>
        <row r="160">
          <cell r="H160">
            <v>1110000</v>
          </cell>
          <cell r="N160">
            <v>1110000</v>
          </cell>
        </row>
        <row r="161">
          <cell r="H161">
            <v>1400000</v>
          </cell>
          <cell r="N161">
            <v>1400000</v>
          </cell>
        </row>
        <row r="162">
          <cell r="H162">
            <v>0</v>
          </cell>
          <cell r="N162">
            <v>0</v>
          </cell>
        </row>
        <row r="163">
          <cell r="H163">
            <v>2058500</v>
          </cell>
          <cell r="N163">
            <v>2058500</v>
          </cell>
        </row>
        <row r="164">
          <cell r="H164">
            <v>4179500</v>
          </cell>
          <cell r="N164">
            <v>4179500</v>
          </cell>
        </row>
        <row r="165">
          <cell r="H165">
            <v>161024</v>
          </cell>
          <cell r="N165">
            <v>0</v>
          </cell>
        </row>
        <row r="166">
          <cell r="H166">
            <v>311024</v>
          </cell>
          <cell r="N166">
            <v>0</v>
          </cell>
        </row>
        <row r="167">
          <cell r="H167">
            <v>161023</v>
          </cell>
          <cell r="N167">
            <v>0</v>
          </cell>
        </row>
        <row r="168">
          <cell r="H168">
            <v>311600</v>
          </cell>
          <cell r="N168">
            <v>0</v>
          </cell>
        </row>
        <row r="169">
          <cell r="H169">
            <v>4611000</v>
          </cell>
          <cell r="N169">
            <v>0</v>
          </cell>
        </row>
        <row r="170">
          <cell r="H170">
            <v>5326570</v>
          </cell>
          <cell r="N170">
            <v>0</v>
          </cell>
        </row>
        <row r="171">
          <cell r="H171">
            <v>777681</v>
          </cell>
          <cell r="N171">
            <v>0</v>
          </cell>
        </row>
        <row r="172">
          <cell r="H172">
            <v>552708</v>
          </cell>
          <cell r="N172">
            <v>0</v>
          </cell>
        </row>
        <row r="173">
          <cell r="H173">
            <v>728880</v>
          </cell>
          <cell r="N173">
            <v>0</v>
          </cell>
        </row>
        <row r="174">
          <cell r="H174">
            <v>130000</v>
          </cell>
          <cell r="N174">
            <v>0</v>
          </cell>
        </row>
        <row r="175">
          <cell r="H175">
            <v>8885158</v>
          </cell>
          <cell r="N175">
            <v>7409328</v>
          </cell>
        </row>
        <row r="176">
          <cell r="H176">
            <v>8137220</v>
          </cell>
          <cell r="N176">
            <v>8137220</v>
          </cell>
        </row>
        <row r="177">
          <cell r="H177">
            <v>0</v>
          </cell>
          <cell r="N177">
            <v>0</v>
          </cell>
        </row>
        <row r="178">
          <cell r="H178">
            <v>23117580</v>
          </cell>
          <cell r="N178">
            <v>23117580</v>
          </cell>
        </row>
        <row r="179">
          <cell r="H179">
            <v>8779398</v>
          </cell>
          <cell r="N179">
            <v>8779398</v>
          </cell>
        </row>
        <row r="180">
          <cell r="H180">
            <v>5095198</v>
          </cell>
          <cell r="N180">
            <v>5095198</v>
          </cell>
        </row>
        <row r="181">
          <cell r="H181">
            <v>45270107</v>
          </cell>
          <cell r="N181">
            <v>45270107</v>
          </cell>
        </row>
        <row r="182">
          <cell r="H182">
            <v>71505049</v>
          </cell>
          <cell r="N182">
            <v>71505049</v>
          </cell>
        </row>
        <row r="184">
          <cell r="I184">
            <v>23757479</v>
          </cell>
          <cell r="N184">
            <v>-18198253</v>
          </cell>
        </row>
        <row r="185">
          <cell r="I185">
            <v>27273296</v>
          </cell>
          <cell r="N185">
            <v>-12686061</v>
          </cell>
        </row>
        <row r="186">
          <cell r="I186">
            <v>22037180</v>
          </cell>
          <cell r="N186">
            <v>-8740101</v>
          </cell>
        </row>
        <row r="187">
          <cell r="I187">
            <v>75544183</v>
          </cell>
          <cell r="N187">
            <v>-22863640.11</v>
          </cell>
        </row>
        <row r="188">
          <cell r="I188">
            <v>58027277</v>
          </cell>
          <cell r="N188">
            <v>-15009217</v>
          </cell>
        </row>
        <row r="189">
          <cell r="I189">
            <v>61178144</v>
          </cell>
          <cell r="N189">
            <v>-2381197.299999997</v>
          </cell>
        </row>
        <row r="190">
          <cell r="I190">
            <v>36261</v>
          </cell>
          <cell r="N190">
            <v>0</v>
          </cell>
        </row>
        <row r="191">
          <cell r="I191">
            <v>41308376</v>
          </cell>
          <cell r="N191">
            <v>-51088810</v>
          </cell>
        </row>
        <row r="192">
          <cell r="I192">
            <v>633071</v>
          </cell>
          <cell r="N192">
            <v>0</v>
          </cell>
        </row>
        <row r="193">
          <cell r="I193">
            <v>0</v>
          </cell>
          <cell r="N193">
            <v>0</v>
          </cell>
        </row>
        <row r="194">
          <cell r="I194">
            <v>0</v>
          </cell>
          <cell r="N194">
            <v>0</v>
          </cell>
        </row>
        <row r="195">
          <cell r="I195">
            <v>120666683</v>
          </cell>
          <cell r="N195">
            <v>-83490905.69</v>
          </cell>
        </row>
        <row r="196">
          <cell r="I196">
            <v>0</v>
          </cell>
          <cell r="N196">
            <v>0</v>
          </cell>
        </row>
        <row r="197">
          <cell r="H197">
            <v>35889688</v>
          </cell>
        </row>
        <row r="199">
          <cell r="H199">
            <v>9892520</v>
          </cell>
          <cell r="N199">
            <v>0</v>
          </cell>
        </row>
        <row r="200">
          <cell r="H200">
            <v>27857146</v>
          </cell>
          <cell r="N200">
            <v>0</v>
          </cell>
        </row>
        <row r="201">
          <cell r="H201">
            <v>13903400</v>
          </cell>
          <cell r="N201">
            <v>0</v>
          </cell>
        </row>
        <row r="202">
          <cell r="H202">
            <v>1534724</v>
          </cell>
          <cell r="N202">
            <v>0</v>
          </cell>
        </row>
        <row r="203">
          <cell r="H203">
            <v>451152</v>
          </cell>
          <cell r="N203">
            <v>0</v>
          </cell>
        </row>
        <row r="204">
          <cell r="H204">
            <v>2127741</v>
          </cell>
          <cell r="N204">
            <v>0</v>
          </cell>
        </row>
        <row r="206">
          <cell r="H206">
            <v>303575289</v>
          </cell>
          <cell r="N206">
            <v>303575289</v>
          </cell>
        </row>
        <row r="207">
          <cell r="H207">
            <v>34831523</v>
          </cell>
          <cell r="N207">
            <v>0</v>
          </cell>
        </row>
        <row r="208">
          <cell r="H208">
            <v>124064268</v>
          </cell>
          <cell r="N208">
            <v>124064268</v>
          </cell>
        </row>
        <row r="209">
          <cell r="H209">
            <v>88242243</v>
          </cell>
          <cell r="N209">
            <v>88242243</v>
          </cell>
        </row>
        <row r="210">
          <cell r="H210">
            <v>33352954</v>
          </cell>
          <cell r="N210">
            <v>33352954</v>
          </cell>
        </row>
        <row r="211">
          <cell r="H211">
            <v>83000</v>
          </cell>
          <cell r="N211">
            <v>0</v>
          </cell>
        </row>
        <row r="212">
          <cell r="H212">
            <v>150000</v>
          </cell>
          <cell r="N212">
            <v>0</v>
          </cell>
        </row>
        <row r="213">
          <cell r="H213">
            <v>448478286</v>
          </cell>
          <cell r="N213">
            <v>0</v>
          </cell>
        </row>
        <row r="215">
          <cell r="I215">
            <v>34831523</v>
          </cell>
          <cell r="N215">
            <v>0</v>
          </cell>
        </row>
        <row r="216">
          <cell r="I216">
            <v>303575289</v>
          </cell>
          <cell r="N216">
            <v>-303575289</v>
          </cell>
        </row>
        <row r="217">
          <cell r="I217">
            <v>124064268</v>
          </cell>
          <cell r="N217">
            <v>-124064268</v>
          </cell>
        </row>
        <row r="219">
          <cell r="I219">
            <v>274896616</v>
          </cell>
          <cell r="N219">
            <v>-274896616</v>
          </cell>
        </row>
        <row r="220">
          <cell r="I220">
            <v>78000000</v>
          </cell>
          <cell r="N220">
            <v>-78000000</v>
          </cell>
        </row>
        <row r="221">
          <cell r="I221">
            <v>4387453</v>
          </cell>
          <cell r="N221">
            <v>-4387453</v>
          </cell>
        </row>
        <row r="227">
          <cell r="I227">
            <v>1342455</v>
          </cell>
          <cell r="N227">
            <v>-1342455</v>
          </cell>
        </row>
        <row r="228">
          <cell r="I228">
            <v>64568429</v>
          </cell>
          <cell r="N228">
            <v>-64568429</v>
          </cell>
        </row>
        <row r="229">
          <cell r="I229">
            <v>179845</v>
          </cell>
          <cell r="N229">
            <v>-179845</v>
          </cell>
        </row>
        <row r="230">
          <cell r="I230">
            <v>143877</v>
          </cell>
          <cell r="N230">
            <v>-143877</v>
          </cell>
        </row>
        <row r="231">
          <cell r="I231">
            <v>8568</v>
          </cell>
          <cell r="N231">
            <v>-8568</v>
          </cell>
        </row>
        <row r="232">
          <cell r="I232">
            <v>69091</v>
          </cell>
          <cell r="N232">
            <v>-69091</v>
          </cell>
        </row>
        <row r="233">
          <cell r="I233">
            <v>0</v>
          </cell>
          <cell r="N233">
            <v>0</v>
          </cell>
        </row>
        <row r="234">
          <cell r="I234">
            <v>0</v>
          </cell>
          <cell r="N234">
            <v>0</v>
          </cell>
        </row>
        <row r="235">
          <cell r="I235">
            <v>0</v>
          </cell>
          <cell r="N235">
            <v>0</v>
          </cell>
        </row>
        <row r="236">
          <cell r="I236">
            <v>0</v>
          </cell>
          <cell r="N236">
            <v>0</v>
          </cell>
        </row>
        <row r="237">
          <cell r="I237">
            <v>42310125</v>
          </cell>
          <cell r="N237">
            <v>-42310125</v>
          </cell>
        </row>
        <row r="238">
          <cell r="I238">
            <v>0</v>
          </cell>
          <cell r="N238">
            <v>0</v>
          </cell>
        </row>
        <row r="239">
          <cell r="I239">
            <v>0</v>
          </cell>
          <cell r="N239">
            <v>0</v>
          </cell>
        </row>
        <row r="240">
          <cell r="I240">
            <v>25141655</v>
          </cell>
          <cell r="N240">
            <v>-32104121</v>
          </cell>
        </row>
        <row r="241">
          <cell r="I241">
            <v>4362500</v>
          </cell>
          <cell r="N241">
            <v>-4362500</v>
          </cell>
        </row>
        <row r="242">
          <cell r="N242">
            <v>0</v>
          </cell>
        </row>
        <row r="243">
          <cell r="I243">
            <v>834740911</v>
          </cell>
          <cell r="N243">
            <v>-834740911</v>
          </cell>
        </row>
        <row r="244">
          <cell r="I244">
            <v>443513</v>
          </cell>
          <cell r="N244">
            <v>-443513</v>
          </cell>
        </row>
        <row r="245">
          <cell r="I245">
            <v>390180</v>
          </cell>
          <cell r="N245">
            <v>-390180</v>
          </cell>
        </row>
        <row r="246">
          <cell r="I246">
            <v>359631</v>
          </cell>
          <cell r="N246">
            <v>-359631</v>
          </cell>
        </row>
        <row r="247">
          <cell r="I247">
            <v>143315</v>
          </cell>
          <cell r="N247">
            <v>-143315</v>
          </cell>
        </row>
        <row r="248">
          <cell r="I248">
            <v>459937</v>
          </cell>
          <cell r="N248">
            <v>-459937</v>
          </cell>
        </row>
        <row r="249">
          <cell r="I249">
            <v>46100</v>
          </cell>
          <cell r="N249">
            <v>-46100</v>
          </cell>
        </row>
        <row r="250">
          <cell r="I250">
            <v>246806</v>
          </cell>
          <cell r="N250">
            <v>-246806</v>
          </cell>
        </row>
        <row r="251">
          <cell r="I251">
            <v>192141</v>
          </cell>
          <cell r="N251">
            <v>-192141</v>
          </cell>
        </row>
        <row r="252">
          <cell r="I252">
            <v>12501</v>
          </cell>
          <cell r="N252">
            <v>-12501</v>
          </cell>
        </row>
        <row r="253">
          <cell r="I253">
            <v>238440</v>
          </cell>
          <cell r="N253">
            <v>-238440</v>
          </cell>
        </row>
        <row r="254">
          <cell r="I254">
            <v>497064</v>
          </cell>
          <cell r="N254">
            <v>-497064</v>
          </cell>
        </row>
        <row r="255">
          <cell r="I255">
            <v>601744</v>
          </cell>
          <cell r="N255">
            <v>-601744</v>
          </cell>
        </row>
        <row r="256">
          <cell r="I256">
            <v>542161</v>
          </cell>
          <cell r="N256">
            <v>-542161</v>
          </cell>
        </row>
        <row r="257">
          <cell r="I257">
            <v>1596700</v>
          </cell>
          <cell r="N257">
            <v>-1596700</v>
          </cell>
        </row>
        <row r="258">
          <cell r="I258">
            <v>1154200</v>
          </cell>
          <cell r="N258">
            <v>-1154200</v>
          </cell>
        </row>
        <row r="259">
          <cell r="I259">
            <v>1465600</v>
          </cell>
          <cell r="N259">
            <v>-1465600</v>
          </cell>
        </row>
        <row r="260">
          <cell r="I260">
            <v>1397500</v>
          </cell>
          <cell r="N260">
            <v>-1397500</v>
          </cell>
        </row>
        <row r="261">
          <cell r="I261">
            <v>658600</v>
          </cell>
          <cell r="N261">
            <v>-658600</v>
          </cell>
        </row>
        <row r="262">
          <cell r="I262">
            <v>229800</v>
          </cell>
          <cell r="N262">
            <v>-229800</v>
          </cell>
        </row>
        <row r="263">
          <cell r="I263">
            <v>880300</v>
          </cell>
          <cell r="N263">
            <v>-880300</v>
          </cell>
        </row>
        <row r="264">
          <cell r="I264">
            <v>660200</v>
          </cell>
          <cell r="N264">
            <v>-660200</v>
          </cell>
        </row>
        <row r="265">
          <cell r="I265">
            <v>440200</v>
          </cell>
          <cell r="N265">
            <v>-440200</v>
          </cell>
        </row>
        <row r="266">
          <cell r="I266">
            <v>58787</v>
          </cell>
          <cell r="N266">
            <v>-58787</v>
          </cell>
        </row>
        <row r="268">
          <cell r="I268">
            <v>4832733</v>
          </cell>
          <cell r="N268">
            <v>0</v>
          </cell>
        </row>
        <row r="269">
          <cell r="I269">
            <v>3872145</v>
          </cell>
          <cell r="N269">
            <v>0</v>
          </cell>
        </row>
        <row r="270">
          <cell r="I270">
            <v>9987120</v>
          </cell>
          <cell r="N270">
            <v>-9987120</v>
          </cell>
        </row>
        <row r="271">
          <cell r="H271">
            <v>11166</v>
          </cell>
          <cell r="N271">
            <v>11166</v>
          </cell>
        </row>
        <row r="272">
          <cell r="H272">
            <v>301128</v>
          </cell>
          <cell r="N272">
            <v>301128</v>
          </cell>
        </row>
        <row r="273">
          <cell r="H273">
            <v>51</v>
          </cell>
          <cell r="N273">
            <v>51</v>
          </cell>
        </row>
        <row r="274">
          <cell r="H274">
            <v>2404</v>
          </cell>
          <cell r="N274">
            <v>2404</v>
          </cell>
        </row>
        <row r="275">
          <cell r="H275">
            <v>7652</v>
          </cell>
          <cell r="N275">
            <v>7652</v>
          </cell>
        </row>
        <row r="276">
          <cell r="H276">
            <v>314</v>
          </cell>
          <cell r="N276">
            <v>314</v>
          </cell>
        </row>
        <row r="277">
          <cell r="H277">
            <v>19</v>
          </cell>
          <cell r="N277">
            <v>19</v>
          </cell>
        </row>
        <row r="278">
          <cell r="H278">
            <v>391736</v>
          </cell>
          <cell r="N278">
            <v>391736</v>
          </cell>
        </row>
        <row r="279">
          <cell r="H279">
            <v>0</v>
          </cell>
          <cell r="N279">
            <v>0</v>
          </cell>
        </row>
        <row r="280">
          <cell r="H280">
            <v>120</v>
          </cell>
          <cell r="N280">
            <v>120</v>
          </cell>
        </row>
        <row r="281">
          <cell r="H281">
            <v>525</v>
          </cell>
          <cell r="N281">
            <v>525</v>
          </cell>
        </row>
        <row r="283">
          <cell r="I283">
            <v>8608653</v>
          </cell>
          <cell r="N283">
            <v>-8057172</v>
          </cell>
        </row>
        <row r="285">
          <cell r="I285">
            <v>73069141</v>
          </cell>
          <cell r="N285">
            <v>-17302458</v>
          </cell>
        </row>
        <row r="287">
          <cell r="I287">
            <v>14716039</v>
          </cell>
          <cell r="N287">
            <v>-14716039</v>
          </cell>
        </row>
        <row r="288">
          <cell r="I288">
            <v>1718917</v>
          </cell>
          <cell r="N288">
            <v>-1718917</v>
          </cell>
        </row>
        <row r="289">
          <cell r="I289">
            <v>5111661</v>
          </cell>
          <cell r="N289">
            <v>-5111661</v>
          </cell>
        </row>
        <row r="290">
          <cell r="I290">
            <v>2371267</v>
          </cell>
          <cell r="N290">
            <v>-2371267</v>
          </cell>
        </row>
        <row r="295">
          <cell r="I295">
            <v>79077375</v>
          </cell>
          <cell r="N295">
            <v>-79077375</v>
          </cell>
        </row>
        <row r="302">
          <cell r="I302">
            <v>3285275</v>
          </cell>
          <cell r="N302">
            <v>-3285275</v>
          </cell>
        </row>
        <row r="303">
          <cell r="N303">
            <v>0</v>
          </cell>
        </row>
        <row r="307">
          <cell r="I307">
            <v>12854886</v>
          </cell>
          <cell r="N307">
            <v>-12854886</v>
          </cell>
        </row>
        <row r="308">
          <cell r="I308">
            <v>43271059</v>
          </cell>
          <cell r="N308">
            <v>-43271059</v>
          </cell>
        </row>
        <row r="309">
          <cell r="I309">
            <v>45519012</v>
          </cell>
          <cell r="N309">
            <v>-45519012</v>
          </cell>
        </row>
        <row r="310">
          <cell r="I310">
            <v>237883381</v>
          </cell>
          <cell r="N310">
            <v>-237883381</v>
          </cell>
        </row>
        <row r="311">
          <cell r="I311">
            <v>41762140</v>
          </cell>
          <cell r="N311">
            <v>-41762140</v>
          </cell>
        </row>
        <row r="312">
          <cell r="I312">
            <v>151864711</v>
          </cell>
          <cell r="N312">
            <v>-151864711</v>
          </cell>
        </row>
        <row r="313">
          <cell r="I313">
            <v>378056300</v>
          </cell>
          <cell r="N313">
            <v>-378056300</v>
          </cell>
        </row>
        <row r="314">
          <cell r="I314">
            <v>88573421</v>
          </cell>
          <cell r="N314">
            <v>-88573421</v>
          </cell>
        </row>
        <row r="315">
          <cell r="I315">
            <v>10562811</v>
          </cell>
          <cell r="N315">
            <v>-10562811</v>
          </cell>
        </row>
        <row r="316">
          <cell r="I316">
            <v>127455053</v>
          </cell>
          <cell r="N316">
            <v>-127455053</v>
          </cell>
        </row>
        <row r="317">
          <cell r="I317">
            <v>4285400</v>
          </cell>
          <cell r="N317">
            <v>-4285400</v>
          </cell>
        </row>
        <row r="318">
          <cell r="I318">
            <v>448478286</v>
          </cell>
          <cell r="N318">
            <v>0</v>
          </cell>
        </row>
        <row r="319">
          <cell r="H319">
            <v>454726097</v>
          </cell>
          <cell r="N319">
            <v>454726097</v>
          </cell>
        </row>
        <row r="320">
          <cell r="H320">
            <v>178769834</v>
          </cell>
          <cell r="N320">
            <v>178769845</v>
          </cell>
        </row>
        <row r="321">
          <cell r="N321">
            <v>-606524919.899125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DE CUENTAS"/>
      <sheetName val="BALANCE"/>
      <sheetName val="AJUSTES"/>
      <sheetName val="ESFA 01 01 2015"/>
      <sheetName val="RECLASIFICACIONES"/>
      <sheetName val="CONCILIACION"/>
      <sheetName val="FRESNO"/>
      <sheetName val="HERVEO"/>
      <sheetName val="FRIAS"/>
      <sheetName val="PALOCABILDO"/>
      <sheetName val="BANCOS"/>
      <sheetName val="PROYECTO PLAN DE CUENTAS NIIF"/>
    </sheetNames>
    <sheetDataSet>
      <sheetData sheetId="3">
        <row r="4">
          <cell r="B4">
            <v>11</v>
          </cell>
          <cell r="C4" t="str">
            <v>DISPONIBLE</v>
          </cell>
          <cell r="D4">
            <v>354099762.21</v>
          </cell>
          <cell r="E4">
            <v>0</v>
          </cell>
          <cell r="F4">
            <v>2940300</v>
          </cell>
          <cell r="G4">
            <v>13763526.02</v>
          </cell>
          <cell r="H4">
            <v>364922988.23</v>
          </cell>
          <cell r="I4">
            <v>-354099762.21000004</v>
          </cell>
          <cell r="J4">
            <v>0</v>
          </cell>
          <cell r="K4">
            <v>-354099762.21</v>
          </cell>
          <cell r="L4">
            <v>-1</v>
          </cell>
        </row>
        <row r="5">
          <cell r="B5">
            <v>1105</v>
          </cell>
          <cell r="C5" t="str">
            <v>CAJA</v>
          </cell>
          <cell r="D5">
            <v>15893132</v>
          </cell>
          <cell r="E5">
            <v>0</v>
          </cell>
          <cell r="F5">
            <v>0</v>
          </cell>
          <cell r="G5">
            <v>0</v>
          </cell>
          <cell r="H5">
            <v>15893132</v>
          </cell>
          <cell r="I5">
            <v>-15893132</v>
          </cell>
          <cell r="J5">
            <v>0</v>
          </cell>
          <cell r="K5">
            <v>-15893132</v>
          </cell>
          <cell r="L5">
            <v>-1</v>
          </cell>
        </row>
        <row r="6">
          <cell r="B6">
            <v>1110</v>
          </cell>
          <cell r="C6" t="str">
            <v>BANCOS Y OTRAS ENTIDADES</v>
          </cell>
          <cell r="D6">
            <v>121528331.26</v>
          </cell>
          <cell r="E6">
            <v>0</v>
          </cell>
          <cell r="F6">
            <v>2940300</v>
          </cell>
          <cell r="G6">
            <v>6962466</v>
          </cell>
          <cell r="H6">
            <v>125550497.26</v>
          </cell>
          <cell r="I6">
            <v>-121528331.26</v>
          </cell>
          <cell r="J6">
            <v>0</v>
          </cell>
          <cell r="K6">
            <v>-121528331.26</v>
          </cell>
          <cell r="L6">
            <v>-1</v>
          </cell>
        </row>
        <row r="7">
          <cell r="B7">
            <v>1115</v>
          </cell>
          <cell r="C7" t="str">
            <v>FONDOS ESPECIALES</v>
          </cell>
          <cell r="D7">
            <v>216678298.95</v>
          </cell>
          <cell r="E7">
            <v>0</v>
          </cell>
          <cell r="F7">
            <v>0</v>
          </cell>
          <cell r="G7">
            <v>6801060.02</v>
          </cell>
          <cell r="H7">
            <v>223479358.97</v>
          </cell>
          <cell r="I7">
            <v>-216678298.95</v>
          </cell>
          <cell r="J7">
            <v>0</v>
          </cell>
          <cell r="K7">
            <v>-216678298.95</v>
          </cell>
          <cell r="L7">
            <v>-1</v>
          </cell>
        </row>
        <row r="8">
          <cell r="B8">
            <v>1120</v>
          </cell>
          <cell r="C8" t="str">
            <v>Cuenta no encontrada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1125</v>
          </cell>
          <cell r="C9" t="str">
            <v>Cuenta no encontrada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>
            <v>111</v>
          </cell>
          <cell r="C10" t="str">
            <v>EFECTIVO Y SUS EQUIVALENTES</v>
          </cell>
          <cell r="E10">
            <v>0</v>
          </cell>
          <cell r="F10">
            <v>0</v>
          </cell>
          <cell r="G10">
            <v>291853847.23</v>
          </cell>
          <cell r="H10">
            <v>6801060.02</v>
          </cell>
          <cell r="I10">
            <v>285052787.21000004</v>
          </cell>
          <cell r="J10">
            <v>285052787.21000004</v>
          </cell>
          <cell r="K10">
            <v>285052787.21000004</v>
          </cell>
          <cell r="L10">
            <v>0</v>
          </cell>
        </row>
        <row r="11">
          <cell r="B11">
            <v>112</v>
          </cell>
          <cell r="C11" t="str">
            <v>EFECTIVO Y SUS EQUIVALENTES RESTRINGIDOS</v>
          </cell>
          <cell r="E11">
            <v>0</v>
          </cell>
          <cell r="F11">
            <v>0</v>
          </cell>
          <cell r="G11">
            <v>82961661.3</v>
          </cell>
          <cell r="H11">
            <v>0</v>
          </cell>
          <cell r="I11">
            <v>82961661.3</v>
          </cell>
          <cell r="J11">
            <v>82961661.3</v>
          </cell>
          <cell r="K11">
            <v>82961661.3</v>
          </cell>
          <cell r="L11">
            <v>0</v>
          </cell>
        </row>
        <row r="12">
          <cell r="B12">
            <v>12</v>
          </cell>
          <cell r="C12" t="str">
            <v>INVERSIONES</v>
          </cell>
          <cell r="D12">
            <v>1100000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1100000</v>
          </cell>
          <cell r="K12">
            <v>0</v>
          </cell>
          <cell r="L12">
            <v>0</v>
          </cell>
        </row>
        <row r="13">
          <cell r="B13">
            <v>1205</v>
          </cell>
          <cell r="C13" t="str">
            <v>INVERSIONES TEMPORAL</v>
          </cell>
          <cell r="D13">
            <v>1100000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1100000</v>
          </cell>
          <cell r="K13">
            <v>0</v>
          </cell>
          <cell r="L13">
            <v>0</v>
          </cell>
        </row>
        <row r="14">
          <cell r="B14">
            <v>1210</v>
          </cell>
          <cell r="C14" t="str">
            <v>Cuenta no encontrada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>
            <v>1215</v>
          </cell>
          <cell r="C15" t="str">
            <v>Cuenta no encontrada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1220</v>
          </cell>
          <cell r="C16" t="str">
            <v>Cuenta no encontrada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1225</v>
          </cell>
          <cell r="C17" t="str">
            <v>Cuenta no encontrada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>
            <v>1230</v>
          </cell>
          <cell r="C18" t="str">
            <v>Cuenta no encontrada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1235</v>
          </cell>
          <cell r="C19" t="str">
            <v>Cuenta no encontrada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1240</v>
          </cell>
          <cell r="C20" t="str">
            <v>Cuenta no encontrada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1245</v>
          </cell>
          <cell r="C21" t="str">
            <v>Cuenta no encontrada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1250</v>
          </cell>
          <cell r="C22" t="str">
            <v>Cuenta no encontrada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1255</v>
          </cell>
          <cell r="C23" t="str">
            <v>Cuenta no encontrada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1260</v>
          </cell>
          <cell r="C24" t="str">
            <v>Cuenta no encontrada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1295</v>
          </cell>
          <cell r="C25" t="str">
            <v>Cuenta no encontrada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1299</v>
          </cell>
          <cell r="C26" t="str">
            <v>Cuenta no encontrada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122</v>
          </cell>
          <cell r="C27" t="str">
            <v>INVERSIONES EN ASOCIADAS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123</v>
          </cell>
          <cell r="C28" t="str">
            <v>NEGOCIOS CONJUNTOS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13</v>
          </cell>
          <cell r="C29" t="str">
            <v>INVENTARIOS</v>
          </cell>
          <cell r="D29">
            <v>1007178214.09</v>
          </cell>
          <cell r="E29">
            <v>19356231.4382835</v>
          </cell>
          <cell r="F29">
            <v>0</v>
          </cell>
          <cell r="G29">
            <v>62610654</v>
          </cell>
          <cell r="H29">
            <v>0</v>
          </cell>
          <cell r="I29">
            <v>81966885.4382835</v>
          </cell>
          <cell r="J29">
            <v>1089145099.5282836</v>
          </cell>
          <cell r="K29">
            <v>81966885.43828356</v>
          </cell>
          <cell r="L29">
            <v>0.08138270297311963</v>
          </cell>
        </row>
        <row r="30">
          <cell r="B30">
            <v>1305</v>
          </cell>
          <cell r="C30" t="str">
            <v>BIENES NO TRANSF. PO</v>
          </cell>
          <cell r="D30">
            <v>1018665386.09</v>
          </cell>
          <cell r="E30">
            <v>19356231.4382835</v>
          </cell>
          <cell r="F30">
            <v>0</v>
          </cell>
          <cell r="G30">
            <v>62610654</v>
          </cell>
          <cell r="H30">
            <v>0</v>
          </cell>
          <cell r="I30">
            <v>81966885.4382835</v>
          </cell>
          <cell r="J30">
            <v>1100632271.5282836</v>
          </cell>
          <cell r="K30">
            <v>81966885.43828356</v>
          </cell>
          <cell r="L30">
            <v>0.08046497560195072</v>
          </cell>
        </row>
        <row r="31">
          <cell r="B31">
            <v>1310</v>
          </cell>
          <cell r="C31" t="str">
            <v>Cuenta no encontrada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1312</v>
          </cell>
          <cell r="C32" t="str">
            <v>Cuenta no encontrada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1315</v>
          </cell>
          <cell r="C33" t="str">
            <v>Cuenta no encontrada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1317</v>
          </cell>
          <cell r="C34" t="str">
            <v>Cuenta no encontrada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1320</v>
          </cell>
          <cell r="C35" t="str">
            <v>Cuenta no encontrada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1325</v>
          </cell>
          <cell r="C36" t="str">
            <v>Cuenta no encontrada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>
            <v>1328</v>
          </cell>
          <cell r="C37" t="str">
            <v>Cuenta no encontrada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>
            <v>1330</v>
          </cell>
          <cell r="C38" t="str">
            <v>Cuenta no encontrada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1332</v>
          </cell>
          <cell r="C39" t="str">
            <v>Cuenta no encontrada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>
            <v>1335</v>
          </cell>
          <cell r="C40" t="str">
            <v>Cuenta no encontrada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B41">
            <v>1340</v>
          </cell>
          <cell r="C41" t="str">
            <v>Cuenta no encontrada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B42">
            <v>1345</v>
          </cell>
          <cell r="C42" t="str">
            <v>Cuenta no encontrada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1350</v>
          </cell>
          <cell r="C43" t="str">
            <v>Cuenta no encontrada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1355</v>
          </cell>
          <cell r="C44" t="str">
            <v>Cuenta no encontrada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>
            <v>1360</v>
          </cell>
          <cell r="C45" t="str">
            <v>Cuenta no encontrada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1365</v>
          </cell>
          <cell r="C46" t="str">
            <v>Cuenta no encontrada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B47">
            <v>1370</v>
          </cell>
          <cell r="C47" t="str">
            <v>Cuenta no encontrada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B48">
            <v>1375</v>
          </cell>
          <cell r="C48" t="str">
            <v>Cuenta no encontrada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1380</v>
          </cell>
          <cell r="C49" t="str">
            <v>Cuenta no encontrada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1385</v>
          </cell>
          <cell r="C50" t="str">
            <v>Cuenta no encontrada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1390</v>
          </cell>
          <cell r="C51" t="str">
            <v>PROVISION</v>
          </cell>
          <cell r="D51">
            <v>-11487172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-11487172</v>
          </cell>
          <cell r="K51">
            <v>0</v>
          </cell>
          <cell r="L51">
            <v>0</v>
          </cell>
        </row>
        <row r="52">
          <cell r="B52">
            <v>1399</v>
          </cell>
          <cell r="C52" t="str">
            <v>Cuenta no encontrada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14</v>
          </cell>
          <cell r="C53" t="str">
            <v>CARTERA DE CREDITOS</v>
          </cell>
          <cell r="D53">
            <v>133128354</v>
          </cell>
          <cell r="E53">
            <v>30739863</v>
          </cell>
          <cell r="F53">
            <v>0</v>
          </cell>
          <cell r="G53">
            <v>5757779</v>
          </cell>
          <cell r="H53">
            <v>0</v>
          </cell>
          <cell r="I53">
            <v>36497642</v>
          </cell>
          <cell r="J53">
            <v>169625996</v>
          </cell>
          <cell r="K53">
            <v>36497642</v>
          </cell>
          <cell r="L53">
            <v>0.27415378394898504</v>
          </cell>
        </row>
        <row r="54">
          <cell r="B54">
            <v>1405</v>
          </cell>
          <cell r="C54" t="str">
            <v>Cuenta no encontrada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1410</v>
          </cell>
          <cell r="C55" t="str">
            <v>Cuenta no encontrada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1412</v>
          </cell>
          <cell r="C56" t="str">
            <v>CREDITOS DE CONSUMO GTIA ADM.S-LIBRANZA</v>
          </cell>
          <cell r="D56">
            <v>167599802</v>
          </cell>
          <cell r="E56">
            <v>0</v>
          </cell>
          <cell r="F56">
            <v>0</v>
          </cell>
          <cell r="G56">
            <v>5757779</v>
          </cell>
          <cell r="H56">
            <v>0</v>
          </cell>
          <cell r="I56">
            <v>5757779</v>
          </cell>
          <cell r="J56">
            <v>173357581</v>
          </cell>
          <cell r="K56">
            <v>5757779</v>
          </cell>
          <cell r="L56">
            <v>0.03435433056179864</v>
          </cell>
        </row>
        <row r="57">
          <cell r="B57">
            <v>1415</v>
          </cell>
          <cell r="C57" t="str">
            <v>Cuenta no encontrada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1417</v>
          </cell>
          <cell r="C58" t="str">
            <v>Cuenta no encontrada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1420</v>
          </cell>
          <cell r="C59" t="str">
            <v>Cuenta no encontrada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1425</v>
          </cell>
          <cell r="C60" t="str">
            <v>Cuenta no encontrada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1430</v>
          </cell>
          <cell r="C61" t="str">
            <v>Cuenta no encontrada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1435</v>
          </cell>
          <cell r="C62" t="str">
            <v>Cuenta no encontrada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1440</v>
          </cell>
          <cell r="C63" t="str">
            <v>Cuenta no encontrada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1445</v>
          </cell>
          <cell r="C64" t="str">
            <v>Cuenta no encontrada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1450</v>
          </cell>
          <cell r="C65" t="str">
            <v>Cuenta no encontrada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1455</v>
          </cell>
          <cell r="C66" t="str">
            <v>Cuenta no encontrada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1460</v>
          </cell>
          <cell r="C67" t="str">
            <v>Cuenta no encontrada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>
            <v>1465</v>
          </cell>
          <cell r="C68" t="str">
            <v>Cuenta no encontrada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B69">
            <v>1491</v>
          </cell>
          <cell r="C69" t="str">
            <v>PROV.CREDITOS DE CONSUMO</v>
          </cell>
          <cell r="D69">
            <v>-34471448</v>
          </cell>
          <cell r="E69">
            <v>30739863</v>
          </cell>
          <cell r="F69">
            <v>0</v>
          </cell>
          <cell r="G69">
            <v>0</v>
          </cell>
          <cell r="H69">
            <v>0</v>
          </cell>
          <cell r="I69">
            <v>30739863</v>
          </cell>
          <cell r="J69">
            <v>-3731585</v>
          </cell>
          <cell r="K69">
            <v>30739863</v>
          </cell>
          <cell r="L69">
            <v>-0.8917485276510577</v>
          </cell>
        </row>
        <row r="70">
          <cell r="B70">
            <v>1498</v>
          </cell>
          <cell r="C70" t="str">
            <v>Cuenta no encontrada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1499</v>
          </cell>
          <cell r="C71" t="str">
            <v>Cuenta no encontrada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15</v>
          </cell>
          <cell r="C72" t="str">
            <v>Cuenta no encontrada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1504</v>
          </cell>
          <cell r="C73" t="str">
            <v>Cuenta no encontrada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1506</v>
          </cell>
          <cell r="C74" t="str">
            <v>Cuenta no encontrada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1508</v>
          </cell>
          <cell r="C75" t="str">
            <v>Cuenta no encontrada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>
            <v>1512</v>
          </cell>
          <cell r="C76" t="str">
            <v>Cuenta no encontrada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>
            <v>1516</v>
          </cell>
          <cell r="C77" t="str">
            <v>Cuenta no encontrada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>
            <v>1520</v>
          </cell>
          <cell r="C78" t="str">
            <v>Cuenta no encontrada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1524</v>
          </cell>
          <cell r="C79" t="str">
            <v>Cuenta no encontrada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1528</v>
          </cell>
          <cell r="C80" t="str">
            <v>Cuenta no encontrada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1532</v>
          </cell>
          <cell r="C81" t="str">
            <v>Cuenta no encontrada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1536</v>
          </cell>
          <cell r="C82" t="str">
            <v>Cuenta no encontrada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1540</v>
          </cell>
          <cell r="C83" t="str">
            <v>Cuenta no encontrada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1544</v>
          </cell>
          <cell r="C84" t="str">
            <v>Cuenta no encontrada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1548</v>
          </cell>
          <cell r="C85" t="str">
            <v>Cuenta no encontrada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1552</v>
          </cell>
          <cell r="C86" t="str">
            <v>Cuenta no encontrada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1556</v>
          </cell>
          <cell r="C87" t="str">
            <v>Cuenta no encontrada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1560</v>
          </cell>
          <cell r="C88" t="str">
            <v>Cuenta no encontrada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1562</v>
          </cell>
          <cell r="C89" t="str">
            <v>Cuenta no encontrada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1564</v>
          </cell>
          <cell r="C90" t="str">
            <v>Cuenta no encontrada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1568</v>
          </cell>
          <cell r="C91" t="str">
            <v>Cuenta no encontrada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1572</v>
          </cell>
          <cell r="C92" t="str">
            <v>Cuenta no encontrada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1576</v>
          </cell>
          <cell r="C93" t="str">
            <v>Cuenta no encontrada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1580</v>
          </cell>
          <cell r="C94" t="str">
            <v>Cuenta no encontrada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1584</v>
          </cell>
          <cell r="C95" t="str">
            <v>Cuenta no encontrada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1588</v>
          </cell>
          <cell r="C96" t="str">
            <v>Cuenta no encontrada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B97">
            <v>1592</v>
          </cell>
          <cell r="C97" t="str">
            <v>Cuenta no encontrada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>
            <v>1596</v>
          </cell>
          <cell r="C98" t="str">
            <v>Cuenta no encontrada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1597</v>
          </cell>
          <cell r="C99" t="str">
            <v>Cuenta no encontrada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1598</v>
          </cell>
          <cell r="C100" t="str">
            <v>Cuenta no encontrada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B101">
            <v>1599</v>
          </cell>
          <cell r="C101" t="str">
            <v>Cuenta no encontrada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155</v>
          </cell>
          <cell r="C102" t="str">
            <v>PROPIEDADES DE INVERSION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199</v>
          </cell>
          <cell r="C103" t="str">
            <v>ACTIVOS BIOLOGICOS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16</v>
          </cell>
          <cell r="C104" t="str">
            <v>CUENTAS POR COBRAR</v>
          </cell>
          <cell r="D104">
            <v>119825906.09</v>
          </cell>
          <cell r="E104">
            <v>5757779</v>
          </cell>
          <cell r="F104">
            <v>0</v>
          </cell>
          <cell r="G104">
            <v>0</v>
          </cell>
          <cell r="H104">
            <v>68368433</v>
          </cell>
          <cell r="I104">
            <v>-62610654</v>
          </cell>
          <cell r="J104">
            <v>57215252.09</v>
          </cell>
          <cell r="K104">
            <v>-62610654</v>
          </cell>
          <cell r="L104">
            <v>-0.5225135034904204</v>
          </cell>
        </row>
        <row r="105">
          <cell r="B105">
            <v>1605</v>
          </cell>
          <cell r="C105" t="str">
            <v>Cuenta no encontrada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1610</v>
          </cell>
          <cell r="C106" t="str">
            <v>Cuenta no encontrada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1615</v>
          </cell>
          <cell r="C107" t="str">
            <v>Cuenta no encontrada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1620</v>
          </cell>
          <cell r="C108" t="str">
            <v>Cuenta no encontrada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1625</v>
          </cell>
          <cell r="C109" t="str">
            <v>ANTIC.DE CONTRAT. Y PROVEEDORES</v>
          </cell>
          <cell r="D109">
            <v>62610654</v>
          </cell>
          <cell r="E109">
            <v>0</v>
          </cell>
          <cell r="F109">
            <v>0</v>
          </cell>
          <cell r="G109">
            <v>0</v>
          </cell>
          <cell r="H109">
            <v>62610654</v>
          </cell>
          <cell r="I109">
            <v>-62610654</v>
          </cell>
          <cell r="J109">
            <v>0</v>
          </cell>
          <cell r="K109">
            <v>-62610654</v>
          </cell>
          <cell r="L109">
            <v>-1</v>
          </cell>
        </row>
        <row r="110">
          <cell r="B110">
            <v>1630</v>
          </cell>
          <cell r="C110" t="str">
            <v>Cuenta no encontrada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1635</v>
          </cell>
          <cell r="C111" t="str">
            <v>ADELANTOS AL PERSONA</v>
          </cell>
          <cell r="D111">
            <v>465526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465526</v>
          </cell>
          <cell r="K111">
            <v>0</v>
          </cell>
          <cell r="L111">
            <v>0</v>
          </cell>
        </row>
        <row r="112">
          <cell r="B112">
            <v>1640</v>
          </cell>
          <cell r="C112" t="str">
            <v>CREDITOS A EMPLEADOS</v>
          </cell>
          <cell r="D112">
            <v>24015188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24015188</v>
          </cell>
          <cell r="K112">
            <v>0</v>
          </cell>
          <cell r="L112">
            <v>0</v>
          </cell>
        </row>
        <row r="113">
          <cell r="B113">
            <v>1645</v>
          </cell>
          <cell r="C113" t="str">
            <v>DEUDORES POR VENTA D</v>
          </cell>
          <cell r="D113">
            <v>77802456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77802456</v>
          </cell>
          <cell r="K113">
            <v>0</v>
          </cell>
          <cell r="L113">
            <v>0</v>
          </cell>
        </row>
        <row r="114">
          <cell r="B114">
            <v>1655</v>
          </cell>
          <cell r="C114" t="str">
            <v>INTERESES</v>
          </cell>
          <cell r="D114">
            <v>5757779</v>
          </cell>
          <cell r="E114">
            <v>0</v>
          </cell>
          <cell r="F114">
            <v>0</v>
          </cell>
          <cell r="G114">
            <v>0</v>
          </cell>
          <cell r="H114">
            <v>5757779</v>
          </cell>
          <cell r="I114">
            <v>-5757779</v>
          </cell>
          <cell r="J114">
            <v>0</v>
          </cell>
          <cell r="K114">
            <v>-5757779</v>
          </cell>
          <cell r="L114">
            <v>-1</v>
          </cell>
        </row>
        <row r="115">
          <cell r="B115">
            <v>1660</v>
          </cell>
          <cell r="C115" t="str">
            <v>INGRESOS POR COBRAR</v>
          </cell>
          <cell r="D115">
            <v>769369.63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769369.63</v>
          </cell>
          <cell r="K115">
            <v>0</v>
          </cell>
          <cell r="L115">
            <v>0</v>
          </cell>
        </row>
        <row r="116">
          <cell r="B116">
            <v>1675</v>
          </cell>
          <cell r="C116" t="str">
            <v>ANTICIPO DE IMPUESTO</v>
          </cell>
          <cell r="D116">
            <v>1498068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1498068</v>
          </cell>
          <cell r="K116">
            <v>0</v>
          </cell>
          <cell r="L116">
            <v>0</v>
          </cell>
        </row>
        <row r="117">
          <cell r="B117">
            <v>1690</v>
          </cell>
          <cell r="C117" t="str">
            <v>OTRAS CUENTAS POR CO</v>
          </cell>
          <cell r="D117">
            <v>38795771.24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38795771.24</v>
          </cell>
          <cell r="K117">
            <v>0</v>
          </cell>
          <cell r="L117">
            <v>0</v>
          </cell>
        </row>
        <row r="118">
          <cell r="B118">
            <v>1691</v>
          </cell>
          <cell r="C118" t="str">
            <v>PROVISION CXC, CART.</v>
          </cell>
          <cell r="D118">
            <v>-9448640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-9448640</v>
          </cell>
          <cell r="K118">
            <v>0</v>
          </cell>
          <cell r="L118">
            <v>0</v>
          </cell>
        </row>
        <row r="119">
          <cell r="B119">
            <v>1696</v>
          </cell>
          <cell r="C119" t="str">
            <v>PROV.CXC DE CONSUMO</v>
          </cell>
          <cell r="D119">
            <v>-5757779</v>
          </cell>
          <cell r="E119">
            <v>5757779</v>
          </cell>
          <cell r="F119">
            <v>0</v>
          </cell>
          <cell r="G119">
            <v>0</v>
          </cell>
          <cell r="H119">
            <v>0</v>
          </cell>
          <cell r="I119">
            <v>5757779</v>
          </cell>
          <cell r="J119">
            <v>0</v>
          </cell>
          <cell r="K119">
            <v>5757779</v>
          </cell>
          <cell r="L119">
            <v>-1</v>
          </cell>
        </row>
        <row r="120">
          <cell r="B120">
            <v>1698</v>
          </cell>
          <cell r="C120" t="str">
            <v>OTRAS PROVISIONES CU</v>
          </cell>
          <cell r="D120">
            <v>-76682486.78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-76682486.78</v>
          </cell>
          <cell r="K120">
            <v>0</v>
          </cell>
          <cell r="L120">
            <v>0</v>
          </cell>
        </row>
        <row r="121">
          <cell r="B121">
            <v>1699</v>
          </cell>
          <cell r="C121" t="str">
            <v>Cuenta no encontrada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166</v>
          </cell>
          <cell r="C122" t="str">
            <v>INTANGIBLES</v>
          </cell>
          <cell r="E122">
            <v>0</v>
          </cell>
          <cell r="F122">
            <v>0</v>
          </cell>
          <cell r="G122">
            <v>81763851.59</v>
          </cell>
          <cell r="H122">
            <v>0</v>
          </cell>
          <cell r="I122">
            <v>81763851.59</v>
          </cell>
          <cell r="J122">
            <v>81763851.59</v>
          </cell>
          <cell r="K122">
            <v>81763851.59</v>
          </cell>
          <cell r="L122">
            <v>0</v>
          </cell>
        </row>
        <row r="123">
          <cell r="B123">
            <v>17</v>
          </cell>
          <cell r="C123" t="str">
            <v>PROPIEDAD PLANTA Y E</v>
          </cell>
          <cell r="D123">
            <v>228577592.0899999</v>
          </cell>
          <cell r="E123">
            <v>486450000</v>
          </cell>
          <cell r="F123">
            <v>37971713.98</v>
          </cell>
          <cell r="G123">
            <v>0</v>
          </cell>
          <cell r="H123">
            <v>0</v>
          </cell>
          <cell r="I123">
            <v>448478286.02</v>
          </cell>
          <cell r="J123">
            <v>677055878.1099999</v>
          </cell>
          <cell r="K123">
            <v>448478286.02</v>
          </cell>
          <cell r="L123">
            <v>1.9620395941672908</v>
          </cell>
        </row>
        <row r="124">
          <cell r="B124">
            <v>1705</v>
          </cell>
          <cell r="C124" t="str">
            <v>TERRENOS</v>
          </cell>
          <cell r="D124">
            <v>26760190</v>
          </cell>
          <cell r="E124">
            <v>185077008.4</v>
          </cell>
          <cell r="F124">
            <v>62000</v>
          </cell>
          <cell r="G124">
            <v>0</v>
          </cell>
          <cell r="H124">
            <v>0</v>
          </cell>
          <cell r="I124">
            <v>185015008.4</v>
          </cell>
          <cell r="J124">
            <v>211775198.4</v>
          </cell>
          <cell r="K124">
            <v>185015008.4</v>
          </cell>
          <cell r="L124">
            <v>6.913815200863671</v>
          </cell>
        </row>
        <row r="125">
          <cell r="B125">
            <v>1710</v>
          </cell>
          <cell r="C125" t="str">
            <v>Cuenta no encontrada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B126">
            <v>1715</v>
          </cell>
          <cell r="C126" t="str">
            <v>EDIFICACIONES</v>
          </cell>
          <cell r="D126">
            <v>316736286.09</v>
          </cell>
          <cell r="E126">
            <v>277615512.6</v>
          </cell>
          <cell r="F126">
            <v>37909713.98</v>
          </cell>
          <cell r="G126">
            <v>0</v>
          </cell>
          <cell r="H126">
            <v>0</v>
          </cell>
          <cell r="I126">
            <v>239705798.62000003</v>
          </cell>
          <cell r="J126">
            <v>556442084.71</v>
          </cell>
          <cell r="K126">
            <v>239705798.62000006</v>
          </cell>
          <cell r="L126">
            <v>0.7567992969137995</v>
          </cell>
        </row>
        <row r="127">
          <cell r="B127">
            <v>1720</v>
          </cell>
          <cell r="C127" t="str">
            <v>MUEBLES Y EQUIPO DE</v>
          </cell>
          <cell r="D127">
            <v>85226794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85226794</v>
          </cell>
          <cell r="K127">
            <v>0</v>
          </cell>
          <cell r="L127">
            <v>0</v>
          </cell>
        </row>
        <row r="128">
          <cell r="B128">
            <v>1722</v>
          </cell>
          <cell r="C128" t="str">
            <v>EQUIPO MEDICO - CIEN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1725</v>
          </cell>
          <cell r="C129" t="str">
            <v>EQUIPO DE COMPUTACIO</v>
          </cell>
          <cell r="D129">
            <v>47088123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47088123</v>
          </cell>
          <cell r="K129">
            <v>0</v>
          </cell>
          <cell r="L129">
            <v>0</v>
          </cell>
        </row>
        <row r="130">
          <cell r="B130">
            <v>1745</v>
          </cell>
          <cell r="C130" t="str">
            <v>MAQUINARIA Y EQUIPO</v>
          </cell>
          <cell r="D130">
            <v>183228149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183228149</v>
          </cell>
          <cell r="K130">
            <v>0</v>
          </cell>
          <cell r="L130">
            <v>0</v>
          </cell>
        </row>
        <row r="131">
          <cell r="B131">
            <v>1765</v>
          </cell>
          <cell r="C131" t="str">
            <v>ELEMENTOS DIDACTICOS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1795</v>
          </cell>
          <cell r="C132" t="str">
            <v>DEPRECIACION ACUMULA</v>
          </cell>
          <cell r="D132">
            <v>-430461950</v>
          </cell>
          <cell r="E132">
            <v>23757479</v>
          </cell>
          <cell r="F132">
            <v>0</v>
          </cell>
          <cell r="G132">
            <v>0</v>
          </cell>
          <cell r="H132">
            <v>0</v>
          </cell>
          <cell r="I132">
            <v>23757479</v>
          </cell>
          <cell r="J132">
            <v>-406704471</v>
          </cell>
          <cell r="K132">
            <v>23757479</v>
          </cell>
          <cell r="L132">
            <v>-0.055190659708715256</v>
          </cell>
        </row>
        <row r="133">
          <cell r="B133">
            <v>1730</v>
          </cell>
          <cell r="C133" t="str">
            <v>Cuenta no encontrada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B134">
            <v>1798</v>
          </cell>
          <cell r="C134" t="str">
            <v>Cuenta no encontrada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18</v>
          </cell>
          <cell r="C135" t="str">
            <v>DIFERIDOS</v>
          </cell>
          <cell r="D135">
            <v>91656371.89</v>
          </cell>
          <cell r="E135">
            <v>0</v>
          </cell>
          <cell r="F135">
            <v>0</v>
          </cell>
          <cell r="G135">
            <v>0</v>
          </cell>
          <cell r="H135">
            <v>91656371.89</v>
          </cell>
          <cell r="I135">
            <v>-91656371.89</v>
          </cell>
          <cell r="J135">
            <v>0</v>
          </cell>
          <cell r="K135">
            <v>-91656371.89</v>
          </cell>
          <cell r="L135">
            <v>-1</v>
          </cell>
        </row>
        <row r="136">
          <cell r="B136">
            <v>1805</v>
          </cell>
          <cell r="C136" t="str">
            <v>Cuenta no encontrada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1810</v>
          </cell>
          <cell r="C137" t="str">
            <v>GASTOS ANTICIPADOS</v>
          </cell>
          <cell r="D137">
            <v>35889688.59</v>
          </cell>
          <cell r="E137">
            <v>0</v>
          </cell>
          <cell r="F137">
            <v>0</v>
          </cell>
          <cell r="G137">
            <v>0</v>
          </cell>
          <cell r="H137">
            <v>81763851.59</v>
          </cell>
          <cell r="I137">
            <v>-81763851.59</v>
          </cell>
          <cell r="J137">
            <v>-45874163</v>
          </cell>
          <cell r="K137">
            <v>-81763851.59</v>
          </cell>
          <cell r="L137">
            <v>-2.2781989702964984</v>
          </cell>
        </row>
        <row r="138">
          <cell r="B138">
            <v>1820</v>
          </cell>
          <cell r="C138" t="str">
            <v>CARGOS DIFERIDOS</v>
          </cell>
          <cell r="D138">
            <v>55766683.3</v>
          </cell>
          <cell r="E138">
            <v>0</v>
          </cell>
          <cell r="F138">
            <v>0</v>
          </cell>
          <cell r="G138">
            <v>0</v>
          </cell>
          <cell r="H138">
            <v>9892520.3</v>
          </cell>
          <cell r="I138">
            <v>-9892520.3</v>
          </cell>
          <cell r="J138">
            <v>45874163</v>
          </cell>
          <cell r="K138">
            <v>-9892520.299999997</v>
          </cell>
          <cell r="L138">
            <v>-0.17739122563166668</v>
          </cell>
        </row>
        <row r="139">
          <cell r="B139">
            <v>1830</v>
          </cell>
          <cell r="C139" t="str">
            <v>Cuenta no encontrada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1895</v>
          </cell>
          <cell r="C140" t="str">
            <v>Cuenta no encontrada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1899</v>
          </cell>
          <cell r="C141" t="str">
            <v>Cuenta no encontrada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19</v>
          </cell>
          <cell r="C142" t="str">
            <v>OTROS ACTIVOS</v>
          </cell>
          <cell r="D142">
            <v>570306482.8199999</v>
          </cell>
          <cell r="E142">
            <v>462471080.22</v>
          </cell>
          <cell r="F142">
            <v>462471080</v>
          </cell>
          <cell r="G142">
            <v>0</v>
          </cell>
          <cell r="H142">
            <v>448478286.02</v>
          </cell>
          <cell r="I142">
            <v>-448478285.79999995</v>
          </cell>
          <cell r="J142">
            <v>121828197.01999998</v>
          </cell>
          <cell r="K142">
            <v>-448478285.79999995</v>
          </cell>
          <cell r="L142">
            <v>-0.786381181540152</v>
          </cell>
        </row>
        <row r="143">
          <cell r="B143">
            <v>1905</v>
          </cell>
          <cell r="C143" t="str">
            <v>Cuenta no encontrada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1910</v>
          </cell>
          <cell r="C144" t="str">
            <v>Cuenta no encontrada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B145">
            <v>1960</v>
          </cell>
          <cell r="C145" t="str">
            <v>DEPOSITOS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1985</v>
          </cell>
          <cell r="C146" t="str">
            <v>RESPONSABILIDADES PE</v>
          </cell>
          <cell r="D146">
            <v>462471080</v>
          </cell>
          <cell r="E146">
            <v>0</v>
          </cell>
          <cell r="F146">
            <v>462471080</v>
          </cell>
          <cell r="G146">
            <v>0</v>
          </cell>
          <cell r="H146">
            <v>0</v>
          </cell>
          <cell r="I146">
            <v>-462471080</v>
          </cell>
          <cell r="J146">
            <v>0</v>
          </cell>
          <cell r="K146">
            <v>-462471080</v>
          </cell>
          <cell r="L146">
            <v>-1</v>
          </cell>
        </row>
        <row r="147">
          <cell r="B147">
            <v>1987</v>
          </cell>
          <cell r="C147" t="str">
            <v>OTRAS INVERSIONES</v>
          </cell>
          <cell r="D147">
            <v>121828197.02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121828197.02</v>
          </cell>
          <cell r="K147">
            <v>0</v>
          </cell>
          <cell r="L147">
            <v>0</v>
          </cell>
        </row>
        <row r="148">
          <cell r="B148">
            <v>1999</v>
          </cell>
          <cell r="C148" t="str">
            <v>PROVISION OTROS ACTI</v>
          </cell>
          <cell r="D148">
            <v>-462471080.22</v>
          </cell>
          <cell r="E148">
            <v>462471080.22</v>
          </cell>
          <cell r="F148">
            <v>0</v>
          </cell>
          <cell r="G148">
            <v>0</v>
          </cell>
          <cell r="H148">
            <v>0</v>
          </cell>
          <cell r="I148">
            <v>462471080.22</v>
          </cell>
          <cell r="J148">
            <v>0</v>
          </cell>
          <cell r="K148">
            <v>462471080.22</v>
          </cell>
          <cell r="L148">
            <v>-1</v>
          </cell>
        </row>
        <row r="149">
          <cell r="B149">
            <v>1995</v>
          </cell>
          <cell r="C149" t="str">
            <v>VALORIZACIONES</v>
          </cell>
          <cell r="D149">
            <v>448478286.02</v>
          </cell>
          <cell r="E149">
            <v>0</v>
          </cell>
          <cell r="F149">
            <v>0</v>
          </cell>
          <cell r="G149">
            <v>0</v>
          </cell>
          <cell r="H149">
            <v>448478286.02</v>
          </cell>
          <cell r="I149">
            <v>-448478286.02</v>
          </cell>
          <cell r="J149">
            <v>0</v>
          </cell>
          <cell r="K149">
            <v>-448478286.02</v>
          </cell>
          <cell r="L149">
            <v>-1</v>
          </cell>
        </row>
        <row r="150">
          <cell r="B150">
            <v>1</v>
          </cell>
          <cell r="C150" t="str">
            <v>TOTAL ACTIVO</v>
          </cell>
          <cell r="D150">
            <v>2505872683.1899996</v>
          </cell>
          <cell r="E150">
            <v>1004774953.6582835</v>
          </cell>
          <cell r="F150">
            <v>503383093.98</v>
          </cell>
          <cell r="G150">
            <v>538711319.14</v>
          </cell>
          <cell r="H150">
            <v>980227139.16</v>
          </cell>
          <cell r="I150">
            <v>59876039.65828352</v>
          </cell>
          <cell r="J150">
            <v>2565748722.848284</v>
          </cell>
          <cell r="K150">
            <v>59876039.658283636</v>
          </cell>
          <cell r="L150">
            <v>0.023894286433603192</v>
          </cell>
        </row>
        <row r="151">
          <cell r="B151">
            <v>21</v>
          </cell>
          <cell r="C151" t="str">
            <v>Cuenta no encontrada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2105</v>
          </cell>
          <cell r="C152" t="str">
            <v>Cuenta no encontrada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2110</v>
          </cell>
          <cell r="C153" t="str">
            <v>Cuenta no encontrada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2115</v>
          </cell>
          <cell r="C154" t="str">
            <v>Cuenta no encontrada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2120</v>
          </cell>
          <cell r="C155" t="str">
            <v>Cuenta no encontrada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2125</v>
          </cell>
          <cell r="C156" t="str">
            <v>Cuenta no encontrada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2130</v>
          </cell>
          <cell r="C157" t="str">
            <v>Cuenta no encontrada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2135</v>
          </cell>
          <cell r="C158" t="str">
            <v>Cuenta no encontrada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2140</v>
          </cell>
          <cell r="C159" t="str">
            <v>Cuenta no encontrada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2145</v>
          </cell>
          <cell r="C160" t="str">
            <v>Cuenta no encontrada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2195</v>
          </cell>
          <cell r="C161" t="str">
            <v>Cuenta no encontrada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22</v>
          </cell>
          <cell r="C162" t="str">
            <v>Cuenta no encontrada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2205</v>
          </cell>
          <cell r="C163" t="str">
            <v>Cuenta no encontrada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2210</v>
          </cell>
          <cell r="C164" t="str">
            <v>Cuenta no encontrada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2215</v>
          </cell>
          <cell r="C165" t="str">
            <v>Cuenta no encontrada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B166">
            <v>2220</v>
          </cell>
          <cell r="C166" t="str">
            <v>Cuenta no encontrada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2225</v>
          </cell>
          <cell r="C167" t="str">
            <v>Cuenta no encontrada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23</v>
          </cell>
          <cell r="C168" t="str">
            <v>CREDITOS DE BANCOS Y</v>
          </cell>
          <cell r="D168">
            <v>-352896616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-352896616</v>
          </cell>
          <cell r="K168">
            <v>0</v>
          </cell>
          <cell r="L168">
            <v>0</v>
          </cell>
        </row>
        <row r="169">
          <cell r="B169">
            <v>2302</v>
          </cell>
          <cell r="C169" t="str">
            <v>Cuenta no encontrada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2305</v>
          </cell>
          <cell r="C170" t="str">
            <v>CUENTAS CORRIENTES COMERCIALES</v>
          </cell>
          <cell r="D170">
            <v>-352896616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-352896616</v>
          </cell>
          <cell r="K170">
            <v>0</v>
          </cell>
          <cell r="L170">
            <v>0</v>
          </cell>
        </row>
        <row r="171">
          <cell r="B171">
            <v>2310</v>
          </cell>
          <cell r="C171" t="str">
            <v>Cuenta no encontrada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2315</v>
          </cell>
          <cell r="C172" t="str">
            <v>Cuenta no encontrada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2320</v>
          </cell>
          <cell r="C173" t="str">
            <v>Cuenta no encontrada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2330</v>
          </cell>
          <cell r="C174" t="str">
            <v>Cuenta no encontrada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2335</v>
          </cell>
          <cell r="C175" t="str">
            <v>Cuenta no encontrada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2340</v>
          </cell>
          <cell r="C176" t="str">
            <v>Cuenta no encontrada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2345</v>
          </cell>
          <cell r="C177" t="str">
            <v>Cuenta no encontrada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2350</v>
          </cell>
          <cell r="C178" t="str">
            <v>Cuenta no encontrada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2355</v>
          </cell>
          <cell r="C179" t="str">
            <v>Cuenta no encontrada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2360</v>
          </cell>
          <cell r="C180" t="str">
            <v>Cuenta no encontrada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2365</v>
          </cell>
          <cell r="C181" t="str">
            <v>Cuenta no encontrada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2367</v>
          </cell>
          <cell r="C182" t="str">
            <v>Cuenta no encontrada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2368</v>
          </cell>
          <cell r="C183" t="str">
            <v>Cuenta no encontrada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2369</v>
          </cell>
          <cell r="C184" t="str">
            <v>Cuenta no encontrada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2370</v>
          </cell>
          <cell r="C185" t="str">
            <v>Cuenta no encontrada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2375</v>
          </cell>
          <cell r="C186" t="str">
            <v>Cuenta no encontrada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2380</v>
          </cell>
          <cell r="C187" t="str">
            <v>Cuenta no encontrada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24</v>
          </cell>
          <cell r="C188" t="str">
            <v>CUENTAS POR PAGAR</v>
          </cell>
          <cell r="D188">
            <v>-998675207.21</v>
          </cell>
          <cell r="E188">
            <v>0</v>
          </cell>
          <cell r="F188">
            <v>0</v>
          </cell>
          <cell r="G188">
            <v>0</v>
          </cell>
          <cell r="H188">
            <v>6962466</v>
          </cell>
          <cell r="I188">
            <v>-6962466</v>
          </cell>
          <cell r="J188">
            <v>-1005637673.21</v>
          </cell>
          <cell r="K188">
            <v>-6962466</v>
          </cell>
          <cell r="L188">
            <v>0.006971702060623942</v>
          </cell>
        </row>
        <row r="189">
          <cell r="B189">
            <v>2404</v>
          </cell>
          <cell r="C189" t="str">
            <v>Cuenta no encontrada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2408</v>
          </cell>
          <cell r="C190" t="str">
            <v>Cuenta no encontrada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2410</v>
          </cell>
          <cell r="C191" t="str">
            <v>Cuenta no encontrada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2412</v>
          </cell>
          <cell r="C192" t="str">
            <v>Cuenta no encontrada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2416</v>
          </cell>
          <cell r="C193" t="str">
            <v>Cuenta no encontrada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2415</v>
          </cell>
          <cell r="C194" t="str">
            <v>COSTOS Y GASTOS POR</v>
          </cell>
          <cell r="D194">
            <v>-142513998.21</v>
          </cell>
          <cell r="E194">
            <v>0</v>
          </cell>
          <cell r="F194">
            <v>0</v>
          </cell>
          <cell r="G194">
            <v>0</v>
          </cell>
          <cell r="H194">
            <v>6962466</v>
          </cell>
          <cell r="I194">
            <v>-6962466</v>
          </cell>
          <cell r="J194">
            <v>-149476464.21</v>
          </cell>
          <cell r="K194">
            <v>-6962466</v>
          </cell>
          <cell r="L194">
            <v>0.04885461138870394</v>
          </cell>
        </row>
        <row r="195">
          <cell r="B195">
            <v>2420</v>
          </cell>
          <cell r="C195" t="str">
            <v>Cuenta no encontrada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2424</v>
          </cell>
          <cell r="C196" t="str">
            <v>Cuenta no encontrada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B197">
            <v>2428</v>
          </cell>
          <cell r="C197" t="str">
            <v>Cuenta no encontrada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>
            <v>2432</v>
          </cell>
          <cell r="C198" t="str">
            <v>Cuenta no encontrada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</row>
        <row r="199">
          <cell r="B199">
            <v>2435</v>
          </cell>
          <cell r="C199" t="str">
            <v>PROVEEDORES</v>
          </cell>
          <cell r="D199">
            <v>-834740911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-834740911</v>
          </cell>
          <cell r="K199">
            <v>0</v>
          </cell>
          <cell r="L199">
            <v>0</v>
          </cell>
        </row>
        <row r="200">
          <cell r="B200">
            <v>2436</v>
          </cell>
          <cell r="C200" t="str">
            <v>Cuenta no encontrada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>
            <v>2440</v>
          </cell>
          <cell r="C201" t="str">
            <v>Cuenta no encontrada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B202">
            <v>2444</v>
          </cell>
          <cell r="C202" t="str">
            <v>Cuenta no encontrada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B203">
            <v>2445</v>
          </cell>
          <cell r="C203" t="str">
            <v>RETENCION EN LA FUEN</v>
          </cell>
          <cell r="D203">
            <v>-4173533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-4173533</v>
          </cell>
          <cell r="K203">
            <v>0</v>
          </cell>
          <cell r="L203">
            <v>0</v>
          </cell>
        </row>
        <row r="204">
          <cell r="B204">
            <v>2450</v>
          </cell>
          <cell r="C204" t="str">
            <v>RETENCIONES Y APORTE</v>
          </cell>
          <cell r="D204">
            <v>-8541887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-8541887</v>
          </cell>
          <cell r="K204">
            <v>0</v>
          </cell>
          <cell r="L204">
            <v>0</v>
          </cell>
        </row>
        <row r="205">
          <cell r="B205">
            <v>2448</v>
          </cell>
          <cell r="C205" t="str">
            <v>Cuenta no encontrada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B206">
            <v>2452</v>
          </cell>
          <cell r="C206" t="str">
            <v>Cuenta no encontrada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7">
          <cell r="B207">
            <v>2456</v>
          </cell>
          <cell r="C207" t="str">
            <v>Cuenta no encontrada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>
            <v>2460</v>
          </cell>
          <cell r="C208" t="str">
            <v>Cuenta no encontrada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09">
          <cell r="B209">
            <v>2464</v>
          </cell>
          <cell r="C209" t="str">
            <v>Cuenta no encontrada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</row>
        <row r="210">
          <cell r="B210">
            <v>2465</v>
          </cell>
          <cell r="C210" t="str">
            <v>REMANENTES POR PAGAR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B211">
            <v>2468</v>
          </cell>
          <cell r="C211" t="str">
            <v>Cuenta no encontrada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B212">
            <v>2472</v>
          </cell>
          <cell r="C212" t="str">
            <v>Cuenta no encontrada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B213">
            <v>2476</v>
          </cell>
          <cell r="C213" t="str">
            <v>Cuenta no encontrada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</row>
        <row r="214">
          <cell r="B214">
            <v>2495</v>
          </cell>
          <cell r="C214" t="str">
            <v>DIVERSAS</v>
          </cell>
          <cell r="D214">
            <v>-8704878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-8704878</v>
          </cell>
          <cell r="K214">
            <v>0</v>
          </cell>
          <cell r="L214">
            <v>0</v>
          </cell>
        </row>
        <row r="215">
          <cell r="B215">
            <v>25</v>
          </cell>
          <cell r="C215" t="str">
            <v>IMPUESTOS GRAVAMENES</v>
          </cell>
          <cell r="D215">
            <v>-9272001.23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-9272001.23</v>
          </cell>
          <cell r="K215">
            <v>0</v>
          </cell>
          <cell r="L215">
            <v>0</v>
          </cell>
        </row>
        <row r="216">
          <cell r="B216">
            <v>2505</v>
          </cell>
          <cell r="C216" t="str">
            <v>Cuenta no encontrada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>
            <v>2510</v>
          </cell>
          <cell r="C217" t="str">
            <v>IMPUESTOS A LAS VENT</v>
          </cell>
          <cell r="D217">
            <v>-9272001.23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-9272001.23</v>
          </cell>
          <cell r="K217">
            <v>0</v>
          </cell>
          <cell r="L217">
            <v>0</v>
          </cell>
        </row>
        <row r="218">
          <cell r="B218">
            <v>2515</v>
          </cell>
          <cell r="C218" t="str">
            <v>Cuenta no encontrada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>
            <v>2520</v>
          </cell>
          <cell r="C219" t="str">
            <v>Cuenta no encontrada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</row>
        <row r="220">
          <cell r="B220">
            <v>2525</v>
          </cell>
          <cell r="C220" t="str">
            <v>Cuenta no encontrada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B221">
            <v>2530</v>
          </cell>
          <cell r="C221" t="str">
            <v>Cuenta no encontrada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</row>
        <row r="222">
          <cell r="B222">
            <v>2532</v>
          </cell>
          <cell r="C222" t="str">
            <v>Cuenta no encontrada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</row>
        <row r="223">
          <cell r="B223">
            <v>2535</v>
          </cell>
          <cell r="C223" t="str">
            <v>Cuenta no encontrada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B224">
            <v>2540</v>
          </cell>
          <cell r="C224" t="str">
            <v>Cuenta no encontrada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5">
          <cell r="B225">
            <v>2595</v>
          </cell>
          <cell r="C225" t="str">
            <v>Cuenta no encontrada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</row>
        <row r="226">
          <cell r="B226">
            <v>255</v>
          </cell>
          <cell r="C226" t="str">
            <v>BENEFICIOS A EMPLEADOS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7">
          <cell r="B227">
            <v>26</v>
          </cell>
          <cell r="C227" t="str">
            <v>FONDOS SOCIALES, MUT</v>
          </cell>
          <cell r="D227">
            <v>-81677794.81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-81677794.81</v>
          </cell>
          <cell r="K227">
            <v>0</v>
          </cell>
          <cell r="L227">
            <v>0</v>
          </cell>
        </row>
        <row r="228">
          <cell r="B228">
            <v>2605</v>
          </cell>
          <cell r="C228" t="str">
            <v>FONDO SOCIAL DE EDUC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B229">
            <v>2610</v>
          </cell>
          <cell r="C229" t="str">
            <v>FONDO SOCIAL DE SOLI</v>
          </cell>
          <cell r="D229">
            <v>-8608653.81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-8608653.81</v>
          </cell>
          <cell r="K229">
            <v>0</v>
          </cell>
          <cell r="L229">
            <v>0</v>
          </cell>
        </row>
        <row r="230">
          <cell r="B230">
            <v>2615</v>
          </cell>
          <cell r="C230" t="str">
            <v>Cuenta no encontrada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B231">
            <v>2620</v>
          </cell>
          <cell r="C231" t="str">
            <v>Cuenta no encontrada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2625</v>
          </cell>
          <cell r="C232" t="str">
            <v>Cuenta no encontrada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2630</v>
          </cell>
          <cell r="C233" t="str">
            <v>Cuenta no encontrada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2635</v>
          </cell>
          <cell r="C234" t="str">
            <v>Cuenta no encontrada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2640</v>
          </cell>
          <cell r="C235" t="str">
            <v>Cuenta no encontrada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2648</v>
          </cell>
          <cell r="C236" t="str">
            <v>FONDO SOCIAL PARA OT</v>
          </cell>
          <cell r="D236">
            <v>-73069141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-73069141</v>
          </cell>
          <cell r="K236">
            <v>0</v>
          </cell>
          <cell r="L236">
            <v>0</v>
          </cell>
        </row>
        <row r="237">
          <cell r="B237">
            <v>2695</v>
          </cell>
          <cell r="C237" t="str">
            <v>Cuenta no encontrada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27</v>
          </cell>
          <cell r="C238" t="str">
            <v>OTROS PASIVOS</v>
          </cell>
          <cell r="D238">
            <v>-23917884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-23917884</v>
          </cell>
          <cell r="K238">
            <v>0</v>
          </cell>
          <cell r="L238">
            <v>0</v>
          </cell>
        </row>
        <row r="239">
          <cell r="B239">
            <v>2705</v>
          </cell>
          <cell r="C239" t="str">
            <v>Cuenta no encontrada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2710</v>
          </cell>
          <cell r="C240" t="str">
            <v>OBLIGACIONES LABORAL</v>
          </cell>
          <cell r="D240">
            <v>-23917884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-23917884</v>
          </cell>
          <cell r="K240">
            <v>0</v>
          </cell>
          <cell r="L240">
            <v>0</v>
          </cell>
        </row>
        <row r="241">
          <cell r="B241">
            <v>2715</v>
          </cell>
          <cell r="C241" t="str">
            <v>Cuenta no encontrada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2720</v>
          </cell>
          <cell r="C242" t="str">
            <v>Cuenta no encontrada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2725</v>
          </cell>
          <cell r="C243" t="str">
            <v>Cuenta no encontrada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2740</v>
          </cell>
          <cell r="C244" t="str">
            <v>Cuenta no encontrada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28</v>
          </cell>
          <cell r="C245" t="str">
            <v>PASIVOS ESTIMADOS Y</v>
          </cell>
          <cell r="D245">
            <v>-82362650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-82362650</v>
          </cell>
          <cell r="K245">
            <v>0</v>
          </cell>
          <cell r="L245">
            <v>0</v>
          </cell>
        </row>
        <row r="246">
          <cell r="B246">
            <v>2805</v>
          </cell>
          <cell r="C246" t="str">
            <v>Cuenta no encontrada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2810</v>
          </cell>
          <cell r="C247" t="str">
            <v>PROVISIONES</v>
          </cell>
          <cell r="D247">
            <v>-79077375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-79077375</v>
          </cell>
          <cell r="K247">
            <v>0</v>
          </cell>
          <cell r="L247">
            <v>0</v>
          </cell>
        </row>
        <row r="248">
          <cell r="B248">
            <v>2815</v>
          </cell>
          <cell r="C248" t="str">
            <v>Cuenta no encontrada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2820</v>
          </cell>
          <cell r="C249" t="str">
            <v>Cuenta no encontrada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2825</v>
          </cell>
          <cell r="C250" t="str">
            <v>Cuenta no encontrada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2830</v>
          </cell>
          <cell r="C251" t="str">
            <v>Cuenta no encontrada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2835</v>
          </cell>
          <cell r="C252" t="str">
            <v>Cuenta no encontrada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2840</v>
          </cell>
          <cell r="C253" t="str">
            <v>Cuenta no encontrada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2851</v>
          </cell>
          <cell r="C254" t="str">
            <v>Cuenta no encontrada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</row>
        <row r="255">
          <cell r="B255">
            <v>2852</v>
          </cell>
          <cell r="C255" t="str">
            <v>Cuenta no encontrada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2853</v>
          </cell>
          <cell r="C256" t="str">
            <v>Cuenta no encontrada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2854</v>
          </cell>
          <cell r="C257" t="str">
            <v>Cuenta no encontrada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2855</v>
          </cell>
          <cell r="C258" t="str">
            <v>Cuenta no encontrada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B259">
            <v>2856</v>
          </cell>
          <cell r="C259" t="str">
            <v>Cuenta no encontrada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2857</v>
          </cell>
          <cell r="C260" t="str">
            <v>Cuenta no encontrada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</row>
        <row r="261">
          <cell r="B261">
            <v>2890</v>
          </cell>
          <cell r="C261" t="str">
            <v>OTROS PASIVOS ESTIMA</v>
          </cell>
          <cell r="D261">
            <v>-3285275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-3285275</v>
          </cell>
          <cell r="K261">
            <v>0</v>
          </cell>
          <cell r="L261">
            <v>0</v>
          </cell>
        </row>
        <row r="262">
          <cell r="B262">
            <v>2895</v>
          </cell>
          <cell r="C262" t="str">
            <v>Cuenta no encontrada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29</v>
          </cell>
          <cell r="C263" t="str">
            <v>PASIVOS POR APORTES SOCIALES POR ENCIMA DEL CAPITAL MÍNIMO IRREDUCTIBLE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351290478.32</v>
          </cell>
          <cell r="I263">
            <v>-351290478.32</v>
          </cell>
          <cell r="J263">
            <v>-351290478.32</v>
          </cell>
          <cell r="K263">
            <v>-351290478.32</v>
          </cell>
          <cell r="L263">
            <v>0</v>
          </cell>
        </row>
        <row r="264">
          <cell r="B264">
            <v>2905</v>
          </cell>
          <cell r="C264" t="str">
            <v>PASIVOS POR APORTES SOCIALES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351290478.32</v>
          </cell>
          <cell r="I264">
            <v>-351290478.32</v>
          </cell>
          <cell r="J264">
            <v>-351290478.32</v>
          </cell>
          <cell r="K264">
            <v>-351290478.32</v>
          </cell>
          <cell r="L264">
            <v>0</v>
          </cell>
        </row>
        <row r="265">
          <cell r="B265">
            <v>2910</v>
          </cell>
          <cell r="C265" t="str">
            <v>Cuenta no encontrada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2915</v>
          </cell>
          <cell r="C266" t="str">
            <v>Cuenta no encontrada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2</v>
          </cell>
          <cell r="C267" t="str">
            <v>TOTAL PASIVO</v>
          </cell>
          <cell r="D267">
            <v>-1548802153.25</v>
          </cell>
          <cell r="E267">
            <v>0</v>
          </cell>
          <cell r="F267">
            <v>0</v>
          </cell>
          <cell r="G267">
            <v>0</v>
          </cell>
          <cell r="H267">
            <v>358252944.32</v>
          </cell>
          <cell r="I267">
            <v>-358252944.32</v>
          </cell>
          <cell r="J267">
            <v>-1907055097.57</v>
          </cell>
          <cell r="K267">
            <v>-358252944.32</v>
          </cell>
          <cell r="L267">
            <v>0.2313096889542951</v>
          </cell>
        </row>
        <row r="268">
          <cell r="B268">
            <v>31</v>
          </cell>
          <cell r="C268" t="str">
            <v>CAPITAL SOCIAL</v>
          </cell>
          <cell r="D268">
            <v>-381290478.32</v>
          </cell>
          <cell r="E268">
            <v>0</v>
          </cell>
          <cell r="F268">
            <v>0</v>
          </cell>
          <cell r="G268">
            <v>351290478.32</v>
          </cell>
          <cell r="H268">
            <v>0</v>
          </cell>
          <cell r="I268">
            <v>351290478.32</v>
          </cell>
          <cell r="J268">
            <v>-30000000</v>
          </cell>
          <cell r="K268">
            <v>351290478.32</v>
          </cell>
          <cell r="L268">
            <v>-0.9213198290915035</v>
          </cell>
        </row>
        <row r="269">
          <cell r="B269">
            <v>3101</v>
          </cell>
          <cell r="C269" t="str">
            <v>Cuenta no encontrada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3105</v>
          </cell>
          <cell r="C270" t="str">
            <v>APORTES SOCIALES</v>
          </cell>
          <cell r="D270">
            <v>-381290478.32</v>
          </cell>
          <cell r="E270">
            <v>0</v>
          </cell>
          <cell r="F270">
            <v>0</v>
          </cell>
          <cell r="G270">
            <v>351290478.32</v>
          </cell>
          <cell r="H270">
            <v>0</v>
          </cell>
          <cell r="I270">
            <v>351290478.32</v>
          </cell>
          <cell r="J270">
            <v>-30000000</v>
          </cell>
          <cell r="K270">
            <v>351290478.32</v>
          </cell>
          <cell r="L270">
            <v>-0.9213198290915035</v>
          </cell>
        </row>
        <row r="271">
          <cell r="B271">
            <v>3110</v>
          </cell>
          <cell r="C271" t="str">
            <v>Cuenta no encontrada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3115</v>
          </cell>
          <cell r="C272" t="str">
            <v>Cuenta no encontrada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3120</v>
          </cell>
          <cell r="C273" t="str">
            <v>Cuenta no encontrada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</row>
        <row r="274">
          <cell r="B274">
            <v>3125</v>
          </cell>
          <cell r="C274" t="str">
            <v>Cuenta no encontrada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3130</v>
          </cell>
          <cell r="C275" t="str">
            <v>Cuenta no encontrada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3135</v>
          </cell>
          <cell r="C276" t="str">
            <v>Cuenta no encontrada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3140</v>
          </cell>
          <cell r="C277" t="str">
            <v>Cuenta no encontrada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32</v>
          </cell>
          <cell r="C278" t="str">
            <v>RESERVAS</v>
          </cell>
          <cell r="D278">
            <v>-151864711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-151864711</v>
          </cell>
          <cell r="K278">
            <v>0</v>
          </cell>
          <cell r="L278">
            <v>0</v>
          </cell>
        </row>
        <row r="279">
          <cell r="B279">
            <v>3205</v>
          </cell>
          <cell r="C279" t="str">
            <v>Cuenta no encontrada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3210</v>
          </cell>
          <cell r="C280" t="str">
            <v>Cuenta no encontrada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3215</v>
          </cell>
          <cell r="C281" t="str">
            <v>Cuenta no encontrada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3280</v>
          </cell>
          <cell r="C282" t="str">
            <v>OTRAS RESERVAS</v>
          </cell>
          <cell r="D282">
            <v>-151864711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-151864711</v>
          </cell>
          <cell r="K282">
            <v>0</v>
          </cell>
          <cell r="L282">
            <v>0</v>
          </cell>
        </row>
        <row r="283">
          <cell r="B283">
            <v>33</v>
          </cell>
          <cell r="C283" t="str">
            <v>FONDOS DE DESTINACIO</v>
          </cell>
          <cell r="D283">
            <v>-604647586.37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-604647586.37</v>
          </cell>
          <cell r="K283">
            <v>0</v>
          </cell>
          <cell r="L283">
            <v>0</v>
          </cell>
        </row>
        <row r="284">
          <cell r="B284">
            <v>3305</v>
          </cell>
          <cell r="C284" t="str">
            <v>Cuenta no encontrada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3310</v>
          </cell>
          <cell r="C285" t="str">
            <v>Cuenta no encontrada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3315</v>
          </cell>
          <cell r="C286" t="str">
            <v>FONDO MERCADEO DE PR</v>
          </cell>
          <cell r="D286">
            <v>-378056300.12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-378056300.12</v>
          </cell>
          <cell r="K286">
            <v>0</v>
          </cell>
          <cell r="L286">
            <v>0</v>
          </cell>
        </row>
        <row r="287">
          <cell r="B287">
            <v>3320</v>
          </cell>
          <cell r="C287" t="str">
            <v>FONDO PARA INFRAESTR</v>
          </cell>
          <cell r="D287">
            <v>-88573421.98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-88573421.98</v>
          </cell>
          <cell r="K287">
            <v>0</v>
          </cell>
          <cell r="L287">
            <v>0</v>
          </cell>
        </row>
        <row r="288">
          <cell r="B288">
            <v>3330</v>
          </cell>
          <cell r="C288" t="str">
            <v>FONDOS SOCIALES CAPI</v>
          </cell>
          <cell r="D288">
            <v>-10562811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-10562811</v>
          </cell>
          <cell r="K288">
            <v>0</v>
          </cell>
          <cell r="L288">
            <v>0</v>
          </cell>
        </row>
        <row r="289">
          <cell r="B289">
            <v>3340</v>
          </cell>
          <cell r="C289" t="str">
            <v>OTROS FONDOS</v>
          </cell>
          <cell r="D289">
            <v>-127455053.27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-127455053.27</v>
          </cell>
          <cell r="K289">
            <v>0</v>
          </cell>
          <cell r="L289">
            <v>0</v>
          </cell>
        </row>
        <row r="290">
          <cell r="B290">
            <v>34</v>
          </cell>
          <cell r="C290" t="str">
            <v>SUPERAVIT</v>
          </cell>
          <cell r="D290">
            <v>-452763686.02</v>
          </cell>
          <cell r="E290">
            <v>0</v>
          </cell>
          <cell r="F290">
            <v>0</v>
          </cell>
          <cell r="G290">
            <v>448478286.02</v>
          </cell>
          <cell r="H290">
            <v>0</v>
          </cell>
          <cell r="I290">
            <v>448478286.02</v>
          </cell>
          <cell r="J290">
            <v>-4285400</v>
          </cell>
          <cell r="K290">
            <v>448478286.02</v>
          </cell>
          <cell r="L290">
            <v>-0.990535018305751</v>
          </cell>
        </row>
        <row r="291">
          <cell r="B291">
            <v>3405</v>
          </cell>
          <cell r="C291" t="str">
            <v>AUXILIOS Y DONACIONE</v>
          </cell>
          <cell r="D291">
            <v>-4285400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-4285400</v>
          </cell>
          <cell r="K291">
            <v>0</v>
          </cell>
          <cell r="L291">
            <v>0</v>
          </cell>
        </row>
        <row r="292">
          <cell r="B292">
            <v>3410</v>
          </cell>
          <cell r="C292" t="str">
            <v>Cuenta no encontrada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3415</v>
          </cell>
          <cell r="C293" t="str">
            <v>VALORIZACIONES</v>
          </cell>
          <cell r="D293">
            <v>-448478286.02</v>
          </cell>
          <cell r="E293">
            <v>0</v>
          </cell>
          <cell r="F293">
            <v>0</v>
          </cell>
          <cell r="G293">
            <v>448478286.02</v>
          </cell>
          <cell r="H293">
            <v>0</v>
          </cell>
          <cell r="I293">
            <v>448478286.02</v>
          </cell>
          <cell r="J293">
            <v>0</v>
          </cell>
          <cell r="K293">
            <v>448478286.02</v>
          </cell>
          <cell r="L293">
            <v>-1</v>
          </cell>
        </row>
        <row r="294">
          <cell r="B294">
            <v>3490</v>
          </cell>
          <cell r="C294" t="str">
            <v>Cuenta no encontrada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35</v>
          </cell>
          <cell r="C295" t="str">
            <v>RESULTADO DEL EJERCICIO</v>
          </cell>
          <cell r="D295">
            <v>454726097.52000237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454726097.52000237</v>
          </cell>
          <cell r="K295">
            <v>0</v>
          </cell>
          <cell r="L295">
            <v>0</v>
          </cell>
        </row>
        <row r="296">
          <cell r="B296">
            <v>3505</v>
          </cell>
          <cell r="C296" t="str">
            <v>RESULTADO DEL EJERCICIO</v>
          </cell>
          <cell r="D296">
            <v>454726097.52000237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454726097.52000237</v>
          </cell>
          <cell r="K296">
            <v>0</v>
          </cell>
          <cell r="L296">
            <v>0</v>
          </cell>
        </row>
        <row r="297">
          <cell r="B297">
            <v>3510</v>
          </cell>
          <cell r="C297" t="str">
            <v>Cuenta no encontrada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8">
          <cell r="B298">
            <v>36</v>
          </cell>
          <cell r="C298" t="str">
            <v>RESULTADOS EJERCICIO</v>
          </cell>
          <cell r="D298">
            <v>178769834.25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178769834.25</v>
          </cell>
          <cell r="K298">
            <v>0</v>
          </cell>
          <cell r="L298">
            <v>0</v>
          </cell>
        </row>
        <row r="299">
          <cell r="B299">
            <v>3605</v>
          </cell>
          <cell r="C299" t="str">
            <v>EXCEDENTES Y/O PERDI</v>
          </cell>
          <cell r="D299">
            <v>178769834.25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178769834.25</v>
          </cell>
          <cell r="K299">
            <v>0</v>
          </cell>
          <cell r="L299">
            <v>0</v>
          </cell>
        </row>
        <row r="300">
          <cell r="B300">
            <v>3610</v>
          </cell>
          <cell r="C300" t="str">
            <v>Cuenta no encontrada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B301">
            <v>37</v>
          </cell>
          <cell r="C301" t="str">
            <v>Cuenta no encontrada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3700</v>
          </cell>
          <cell r="C302" t="str">
            <v>AJUSTES POR REEXPRESION A NIIF</v>
          </cell>
          <cell r="E302">
            <v>503383093.98</v>
          </cell>
          <cell r="F302">
            <v>1004774953.6582835</v>
          </cell>
          <cell r="G302">
            <v>0</v>
          </cell>
          <cell r="H302">
            <v>0</v>
          </cell>
          <cell r="I302">
            <v>-501391859.67828345</v>
          </cell>
          <cell r="J302">
            <v>-501391859.67828345</v>
          </cell>
          <cell r="K302">
            <v>-501391859.67828345</v>
          </cell>
          <cell r="L302">
            <v>0</v>
          </cell>
        </row>
        <row r="303">
          <cell r="B303">
            <v>3705</v>
          </cell>
          <cell r="C303" t="str">
            <v>Cuenta no encontrada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3710</v>
          </cell>
          <cell r="C304" t="str">
            <v>Cuenta no encontrada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5">
          <cell r="B305">
            <v>38</v>
          </cell>
          <cell r="C305" t="str">
            <v>Cuenta no encontrada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3805</v>
          </cell>
          <cell r="C306" t="str">
            <v>Cuenta no encontrada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 t="e">
            <v>#DIV/0!</v>
          </cell>
        </row>
        <row r="307">
          <cell r="B307">
            <v>3810</v>
          </cell>
          <cell r="C307" t="str">
            <v>Cuenta no encontrada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B308">
            <v>3895</v>
          </cell>
          <cell r="C308" t="str">
            <v>Cuenta no encontrada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</row>
        <row r="309">
          <cell r="B309">
            <v>3</v>
          </cell>
          <cell r="C309" t="str">
            <v>TOTAL PATRIMONIO</v>
          </cell>
          <cell r="D309">
            <v>-957070529.9399977</v>
          </cell>
          <cell r="E309">
            <v>503383093.98</v>
          </cell>
          <cell r="F309">
            <v>1004774953.6582835</v>
          </cell>
          <cell r="G309">
            <v>799768764.3399999</v>
          </cell>
          <cell r="H309">
            <v>0</v>
          </cell>
          <cell r="I309">
            <v>298376904.66171646</v>
          </cell>
          <cell r="J309">
            <v>-658693625.2782811</v>
          </cell>
          <cell r="K309">
            <v>298376904.66171646</v>
          </cell>
          <cell r="L309">
            <v>-0.3117606229923544</v>
          </cell>
        </row>
        <row r="310">
          <cell r="C310" t="str">
            <v>TOTAL PASIVOS MÁS PATRIMONIO</v>
          </cell>
          <cell r="D310">
            <v>-2505872683.1899977</v>
          </cell>
          <cell r="E310">
            <v>503383093.98</v>
          </cell>
          <cell r="F310">
            <v>1004774953.6582835</v>
          </cell>
          <cell r="G310">
            <v>799768764.3399999</v>
          </cell>
          <cell r="H310">
            <v>358252944.32</v>
          </cell>
          <cell r="I310">
            <v>-59876039.65828353</v>
          </cell>
          <cell r="J310">
            <v>-2565748722.848281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 "/>
      <sheetName val="Hoja2"/>
      <sheetName val="EST RESULTADOS (2)"/>
      <sheetName val="BALANCES "/>
      <sheetName val="Hoja3"/>
      <sheetName val="BALANCE GENERAL 2015"/>
      <sheetName val="FERTILIZANTES"/>
      <sheetName val="CAFE"/>
      <sheetName val="PRESUPUESTO GENERAL"/>
      <sheetName val="IG 2015"/>
      <sheetName val="Hoja1"/>
      <sheetName val="9"/>
      <sheetName val="IG MENSUAL AÑO"/>
    </sheetNames>
    <sheetDataSet>
      <sheetData sheetId="6">
        <row r="52">
          <cell r="Y52">
            <v>40281.5</v>
          </cell>
        </row>
        <row r="53">
          <cell r="Y53">
            <v>5830.5</v>
          </cell>
        </row>
        <row r="54">
          <cell r="Y54">
            <v>6703.5</v>
          </cell>
        </row>
        <row r="55">
          <cell r="Y55">
            <v>3454</v>
          </cell>
        </row>
        <row r="56">
          <cell r="Y56">
            <v>30769.5</v>
          </cell>
        </row>
      </sheetData>
      <sheetData sheetId="7">
        <row r="35">
          <cell r="Y35">
            <v>572766.0258159189</v>
          </cell>
        </row>
        <row r="36">
          <cell r="Y36">
            <v>340011.8818850374</v>
          </cell>
        </row>
        <row r="37">
          <cell r="Y37">
            <v>543542.2839848815</v>
          </cell>
        </row>
        <row r="38">
          <cell r="Y38">
            <v>232081.25762270243</v>
          </cell>
        </row>
        <row r="39">
          <cell r="Y39">
            <v>625748.5506914596</v>
          </cell>
        </row>
      </sheetData>
      <sheetData sheetId="8">
        <row r="3">
          <cell r="A3" t="str">
            <v>FERTILIZANTES</v>
          </cell>
        </row>
        <row r="5">
          <cell r="A5" t="str">
            <v>VENTAS DE FERTILIZANTES</v>
          </cell>
          <cell r="Y5">
            <v>6493522056.110165</v>
          </cell>
        </row>
        <row r="6">
          <cell r="A6" t="str">
            <v>FRESNO</v>
          </cell>
          <cell r="Y6">
            <v>2926047308.362117</v>
          </cell>
        </row>
        <row r="7">
          <cell r="A7" t="str">
            <v>FRIAS</v>
          </cell>
          <cell r="Y7">
            <v>454676149.89334154</v>
          </cell>
        </row>
        <row r="8">
          <cell r="A8" t="str">
            <v>HERVEO</v>
          </cell>
          <cell r="Y8">
            <v>505806948.53686064</v>
          </cell>
        </row>
        <row r="9">
          <cell r="A9" t="str">
            <v>PADUA</v>
          </cell>
          <cell r="Y9">
            <v>254206232.53455517</v>
          </cell>
        </row>
        <row r="10">
          <cell r="A10" t="str">
            <v>PALOCABILDO</v>
          </cell>
          <cell r="Y10">
            <v>2352785416.783291</v>
          </cell>
        </row>
        <row r="12">
          <cell r="A12" t="str">
            <v>COSTO DE VENTAS</v>
          </cell>
          <cell r="Y12">
            <v>5841705039.578597</v>
          </cell>
        </row>
        <row r="13">
          <cell r="A13" t="str">
            <v>COSTO DE MERCANCIA</v>
          </cell>
        </row>
        <row r="14">
          <cell r="A14" t="str">
            <v>FRESNO</v>
          </cell>
          <cell r="Y14">
            <v>2618812340.9840946</v>
          </cell>
        </row>
        <row r="15">
          <cell r="A15" t="str">
            <v>FRIAS</v>
          </cell>
          <cell r="Y15">
            <v>406935154.15454066</v>
          </cell>
        </row>
        <row r="16">
          <cell r="A16" t="str">
            <v>HERVEO</v>
          </cell>
          <cell r="Y16">
            <v>452697218.94049025</v>
          </cell>
        </row>
        <row r="17">
          <cell r="A17" t="str">
            <v>PADUA</v>
          </cell>
          <cell r="Y17">
            <v>227514578.11842692</v>
          </cell>
        </row>
        <row r="18">
          <cell r="A18" t="str">
            <v>PALOCABILDO</v>
          </cell>
          <cell r="Y18">
            <v>2105742948.021045</v>
          </cell>
        </row>
        <row r="20">
          <cell r="Y20">
            <v>8762799.360000001</v>
          </cell>
        </row>
        <row r="21">
          <cell r="A21" t="str">
            <v>CARGUE Y DESCARGUE</v>
          </cell>
          <cell r="Y21">
            <v>21240000</v>
          </cell>
        </row>
        <row r="24">
          <cell r="A24" t="str">
            <v>UTILIDAD OPERACIONAL</v>
          </cell>
          <cell r="Y24">
            <v>651817016.5315676</v>
          </cell>
        </row>
        <row r="26">
          <cell r="A26" t="str">
            <v>GASTOS OPERACIONALES</v>
          </cell>
        </row>
        <row r="28">
          <cell r="A28" t="str">
            <v>SUELDOS</v>
          </cell>
          <cell r="Y28">
            <v>38779800</v>
          </cell>
        </row>
        <row r="29">
          <cell r="A29" t="str">
            <v>HORAS EXTRAS</v>
          </cell>
          <cell r="Y29">
            <v>1872970</v>
          </cell>
        </row>
        <row r="30">
          <cell r="A30" t="str">
            <v>VIATICOS</v>
          </cell>
        </row>
        <row r="31">
          <cell r="A31" t="str">
            <v>CESANTIAS</v>
          </cell>
          <cell r="Y31">
            <v>302940</v>
          </cell>
        </row>
        <row r="32">
          <cell r="A32" t="str">
            <v>INTERESES SOBRE CESANTIAS</v>
          </cell>
          <cell r="Y32">
            <v>36355</v>
          </cell>
        </row>
        <row r="33">
          <cell r="A33" t="str">
            <v>PRIMA DE SERVICIOS</v>
          </cell>
          <cell r="Y33">
            <v>269190</v>
          </cell>
        </row>
        <row r="34">
          <cell r="A34" t="str">
            <v>VACACIONES</v>
          </cell>
          <cell r="Y34">
            <v>140430</v>
          </cell>
        </row>
        <row r="35">
          <cell r="A35" t="str">
            <v>PRIMA EXTRALEGAL</v>
          </cell>
          <cell r="Y35">
            <v>269190</v>
          </cell>
        </row>
        <row r="36">
          <cell r="A36" t="str">
            <v>DOTACION Y SUMINISTROS</v>
          </cell>
          <cell r="Y36">
            <v>201090.75</v>
          </cell>
        </row>
        <row r="37">
          <cell r="A37" t="str">
            <v>APORTES A SALUD</v>
          </cell>
          <cell r="Y37">
            <v>3455500</v>
          </cell>
        </row>
        <row r="38">
          <cell r="A38" t="str">
            <v>APORTES A PENSION</v>
          </cell>
          <cell r="Y38">
            <v>4878310</v>
          </cell>
        </row>
        <row r="39">
          <cell r="A39" t="str">
            <v>ARP</v>
          </cell>
          <cell r="Y39">
            <v>424410</v>
          </cell>
        </row>
        <row r="40">
          <cell r="A40" t="str">
            <v>APORTES A CAJA DE COMPENSACION</v>
          </cell>
          <cell r="Y40">
            <v>1626100</v>
          </cell>
        </row>
        <row r="41">
          <cell r="A41" t="str">
            <v>ICBF</v>
          </cell>
          <cell r="Y41">
            <v>1219570</v>
          </cell>
        </row>
        <row r="42">
          <cell r="A42" t="str">
            <v>SENA</v>
          </cell>
          <cell r="Y42">
            <v>813070</v>
          </cell>
        </row>
        <row r="43">
          <cell r="A43" t="str">
            <v>PRIMA DE VACACIONES</v>
          </cell>
          <cell r="Y43">
            <v>1615920</v>
          </cell>
        </row>
        <row r="44">
          <cell r="A44" t="str">
            <v>PROV. BONIFICACION</v>
          </cell>
          <cell r="Y44">
            <v>1615920</v>
          </cell>
        </row>
        <row r="45">
          <cell r="A45" t="str">
            <v>INDUSTRIA Y COMERCIO</v>
          </cell>
          <cell r="Y45">
            <v>9600000</v>
          </cell>
        </row>
        <row r="46">
          <cell r="A46" t="str">
            <v>A LA PROPIEDAD RAIZ</v>
          </cell>
          <cell r="Y46">
            <v>330000</v>
          </cell>
        </row>
        <row r="47">
          <cell r="A47" t="str">
            <v>4X1000</v>
          </cell>
          <cell r="Y47">
            <v>0</v>
          </cell>
        </row>
        <row r="48">
          <cell r="A48" t="str">
            <v>SEGUROS</v>
          </cell>
          <cell r="Y48">
            <v>39203007.36000001</v>
          </cell>
        </row>
        <row r="49">
          <cell r="A49" t="str">
            <v>ACUEDUCTO Y ALCANTARILLADO</v>
          </cell>
          <cell r="Y49">
            <v>360000</v>
          </cell>
        </row>
        <row r="50">
          <cell r="A50" t="str">
            <v>ENERGIA ELECTRICA</v>
          </cell>
          <cell r="Y50">
            <v>2520000</v>
          </cell>
        </row>
        <row r="51">
          <cell r="A51" t="str">
            <v>TELEFONO</v>
          </cell>
          <cell r="Y51">
            <v>1383600</v>
          </cell>
        </row>
        <row r="52">
          <cell r="A52" t="str">
            <v>TRANSPORTE Y FLETES</v>
          </cell>
          <cell r="Y52">
            <v>0</v>
          </cell>
        </row>
        <row r="53">
          <cell r="A53" t="str">
            <v>PUBLICIDAD Y PROPAGANDA</v>
          </cell>
          <cell r="Y53">
            <v>240000</v>
          </cell>
        </row>
        <row r="54">
          <cell r="A54" t="str">
            <v>MANTENIMIENTOS</v>
          </cell>
          <cell r="Y54">
            <v>1140000</v>
          </cell>
        </row>
        <row r="55">
          <cell r="A55" t="str">
            <v>REPARACIONES LOCATIVAS</v>
          </cell>
          <cell r="Y55">
            <v>1410000</v>
          </cell>
        </row>
        <row r="56">
          <cell r="A56" t="str">
            <v>GASTOS DE VIAJES</v>
          </cell>
          <cell r="Y56">
            <v>4860000</v>
          </cell>
        </row>
        <row r="57">
          <cell r="A57" t="str">
            <v>DEPRECIACION</v>
          </cell>
          <cell r="Y57">
            <v>12116400</v>
          </cell>
        </row>
        <row r="58">
          <cell r="A58" t="str">
            <v>COMISIONES</v>
          </cell>
          <cell r="Y58">
            <v>1522658</v>
          </cell>
        </row>
        <row r="59">
          <cell r="A59" t="str">
            <v>UTILES, PAPELERIA Y FOTOCOPIAS</v>
          </cell>
          <cell r="Y59">
            <v>1692000</v>
          </cell>
        </row>
        <row r="60">
          <cell r="A60" t="str">
            <v>ELEMENTOS DE ASEO</v>
          </cell>
          <cell r="Y60">
            <v>674400</v>
          </cell>
        </row>
        <row r="61">
          <cell r="A61" t="str">
            <v>ENVASES Y EMPAQUES</v>
          </cell>
          <cell r="Y61">
            <v>360000</v>
          </cell>
        </row>
        <row r="62">
          <cell r="A62" t="str">
            <v>INTERNET</v>
          </cell>
          <cell r="Y62">
            <v>1266000</v>
          </cell>
        </row>
        <row r="63">
          <cell r="A63" t="str">
            <v>ESTUDIO ICA</v>
          </cell>
          <cell r="Y63">
            <v>0</v>
          </cell>
        </row>
        <row r="64">
          <cell r="A64" t="str">
            <v>ARRENDAMIENTOS</v>
          </cell>
          <cell r="Y64">
            <v>0</v>
          </cell>
        </row>
        <row r="66">
          <cell r="A66" t="str">
            <v>UTILIDAD BRUTA</v>
          </cell>
          <cell r="Y66">
            <v>515618185.42156756</v>
          </cell>
        </row>
        <row r="68">
          <cell r="A68" t="str">
            <v>OTROS  INGRESOS</v>
          </cell>
          <cell r="Y68">
            <v>6030000</v>
          </cell>
        </row>
        <row r="69">
          <cell r="A69" t="str">
            <v>OTROS GASTOS</v>
          </cell>
          <cell r="Y69">
            <v>0</v>
          </cell>
        </row>
        <row r="70">
          <cell r="A70" t="str">
            <v>GASTOS BANCARIOS</v>
          </cell>
          <cell r="Y70">
            <v>17920000</v>
          </cell>
        </row>
        <row r="72">
          <cell r="A72" t="str">
            <v>UTILIDAD NETA</v>
          </cell>
          <cell r="Y72">
            <v>503728185.42156756</v>
          </cell>
        </row>
        <row r="74">
          <cell r="A74" t="str">
            <v>CAFÉ</v>
          </cell>
        </row>
        <row r="78">
          <cell r="A78" t="str">
            <v>VENTAS </v>
          </cell>
          <cell r="Y78">
            <v>13884900000</v>
          </cell>
        </row>
        <row r="79">
          <cell r="A79" t="str">
            <v>FRESNO</v>
          </cell>
          <cell r="Y79">
            <v>3436596154.895515</v>
          </cell>
        </row>
        <row r="80">
          <cell r="A80" t="str">
            <v>FRIAS</v>
          </cell>
          <cell r="Y80">
            <v>2040071291.3102245</v>
          </cell>
        </row>
        <row r="81">
          <cell r="A81" t="str">
            <v>HERVEO</v>
          </cell>
          <cell r="Y81">
            <v>3261253703.9092894</v>
          </cell>
        </row>
        <row r="82">
          <cell r="A82" t="str">
            <v>PADUA</v>
          </cell>
          <cell r="Y82">
            <v>1392487545.7362146</v>
          </cell>
        </row>
        <row r="83">
          <cell r="A83" t="str">
            <v>PALOCABILDO</v>
          </cell>
          <cell r="Y83">
            <v>3754491304.1487584</v>
          </cell>
        </row>
        <row r="84">
          <cell r="A84" t="str">
            <v>EL TABLAZO</v>
          </cell>
        </row>
        <row r="86">
          <cell r="A86" t="str">
            <v>COSTO DE VENTAS</v>
          </cell>
          <cell r="Y86">
            <v>13658343110.183664</v>
          </cell>
        </row>
        <row r="87">
          <cell r="A87" t="str">
            <v>FRESNO</v>
          </cell>
          <cell r="Y87">
            <v>3333498270.248649</v>
          </cell>
        </row>
        <row r="88">
          <cell r="A88" t="str">
            <v>FRIAS</v>
          </cell>
          <cell r="Y88">
            <v>1978869152.5709176</v>
          </cell>
        </row>
        <row r="89">
          <cell r="A89" t="str">
            <v>HERVEO</v>
          </cell>
          <cell r="Y89">
            <v>3163416092.79201</v>
          </cell>
        </row>
        <row r="90">
          <cell r="A90" t="str">
            <v>PADUA</v>
          </cell>
          <cell r="Y90">
            <v>1350712919.364128</v>
          </cell>
        </row>
        <row r="91">
          <cell r="A91" t="str">
            <v>PALOCABILDO</v>
          </cell>
          <cell r="Y91">
            <v>3641856565.024296</v>
          </cell>
        </row>
        <row r="92">
          <cell r="A92" t="str">
            <v>EL TABLAZO</v>
          </cell>
          <cell r="Y92">
            <v>0</v>
          </cell>
        </row>
        <row r="94">
          <cell r="A94" t="str">
            <v>GAS</v>
          </cell>
          <cell r="Y94">
            <v>9576000</v>
          </cell>
        </row>
        <row r="95">
          <cell r="A95" t="str">
            <v>ALMACENAMIENTO</v>
          </cell>
          <cell r="Y95">
            <v>0</v>
          </cell>
        </row>
        <row r="96">
          <cell r="A96" t="str">
            <v>CARGUE Y DESCARGUE</v>
          </cell>
          <cell r="Y96">
            <v>36600000</v>
          </cell>
        </row>
        <row r="97">
          <cell r="A97" t="str">
            <v>FLETES Y  TRANSPORTES</v>
          </cell>
          <cell r="Y97">
            <v>143814110.1836641</v>
          </cell>
        </row>
        <row r="99">
          <cell r="A99" t="str">
            <v>UTILIDAD OPERACIONAL</v>
          </cell>
          <cell r="Y99">
            <v>226556889.81633568</v>
          </cell>
        </row>
        <row r="101">
          <cell r="A101" t="str">
            <v>GASTOS OPERACIONALES</v>
          </cell>
          <cell r="Y101">
            <v>194140750.73951167</v>
          </cell>
        </row>
        <row r="103">
          <cell r="A103" t="str">
            <v>SUELDOS</v>
          </cell>
          <cell r="Y103">
            <v>32684400</v>
          </cell>
        </row>
        <row r="104">
          <cell r="A104" t="str">
            <v>HORAS EXTRAS</v>
          </cell>
          <cell r="Y104">
            <v>2615020</v>
          </cell>
        </row>
        <row r="105">
          <cell r="A105" t="str">
            <v>VIATICOS</v>
          </cell>
          <cell r="Y105">
            <v>0</v>
          </cell>
        </row>
        <row r="106">
          <cell r="A106" t="str">
            <v>CESANTIAS</v>
          </cell>
          <cell r="Y106">
            <v>3167230</v>
          </cell>
        </row>
        <row r="107">
          <cell r="A107" t="str">
            <v>INTERESES SOBRE CESANTIAS</v>
          </cell>
          <cell r="Y107">
            <v>380110</v>
          </cell>
        </row>
        <row r="108">
          <cell r="A108" t="str">
            <v>PRIMA DE SERVICIOS</v>
          </cell>
          <cell r="Y108">
            <v>2722620</v>
          </cell>
        </row>
        <row r="109">
          <cell r="A109" t="str">
            <v>VACACIONES</v>
          </cell>
          <cell r="Y109">
            <v>1472010</v>
          </cell>
        </row>
        <row r="110">
          <cell r="A110" t="str">
            <v>PRIMA EXTRALEGAL</v>
          </cell>
          <cell r="Y110">
            <v>2722620</v>
          </cell>
        </row>
        <row r="111">
          <cell r="A111" t="str">
            <v>DOTACIONES</v>
          </cell>
          <cell r="Y111">
            <v>1378908</v>
          </cell>
        </row>
        <row r="112">
          <cell r="A112" t="str">
            <v>APORTES A SALUD</v>
          </cell>
          <cell r="Y112">
            <v>3000440</v>
          </cell>
        </row>
        <row r="113">
          <cell r="A113" t="str">
            <v>APORTES A PENSION</v>
          </cell>
          <cell r="Y113">
            <v>4235910</v>
          </cell>
        </row>
        <row r="114">
          <cell r="A114" t="str">
            <v>ARP</v>
          </cell>
          <cell r="Y114">
            <v>368520</v>
          </cell>
        </row>
        <row r="115">
          <cell r="A115" t="str">
            <v>APORTES A CAJA DE COMPENSACION</v>
          </cell>
          <cell r="Y115">
            <v>1411980</v>
          </cell>
        </row>
        <row r="116">
          <cell r="A116" t="str">
            <v>ICBF</v>
          </cell>
          <cell r="Y116">
            <v>1058970</v>
          </cell>
        </row>
        <row r="117">
          <cell r="A117" t="str">
            <v>SENA</v>
          </cell>
          <cell r="Y117">
            <v>706010</v>
          </cell>
        </row>
        <row r="118">
          <cell r="A118" t="str">
            <v>PRIMA DE VACACIONES</v>
          </cell>
          <cell r="Y118">
            <v>1361880</v>
          </cell>
        </row>
        <row r="119">
          <cell r="A119" t="str">
            <v>PROV. BONIFICACION</v>
          </cell>
          <cell r="Y119">
            <v>1361880</v>
          </cell>
        </row>
        <row r="120">
          <cell r="A120" t="str">
            <v>INDUSTRIA Y COMERCIO</v>
          </cell>
          <cell r="Y120">
            <v>0</v>
          </cell>
        </row>
        <row r="121">
          <cell r="A121" t="str">
            <v>A LA PROPIEDAD RAIZ</v>
          </cell>
          <cell r="Y121">
            <v>330000</v>
          </cell>
        </row>
        <row r="122">
          <cell r="A122" t="str">
            <v>SEGUROS</v>
          </cell>
          <cell r="Y122">
            <v>56440482.50181817</v>
          </cell>
        </row>
        <row r="123">
          <cell r="A123" t="str">
            <v>ACUEDUCTO Y ALCANTARILLADO</v>
          </cell>
          <cell r="Y123">
            <v>448800</v>
          </cell>
        </row>
        <row r="124">
          <cell r="A124" t="str">
            <v>ENERGIA ELECTRICA</v>
          </cell>
          <cell r="Y124">
            <v>2078400</v>
          </cell>
        </row>
        <row r="125">
          <cell r="A125" t="str">
            <v>TELEFONO</v>
          </cell>
          <cell r="Y125">
            <v>2122377.75</v>
          </cell>
        </row>
        <row r="126">
          <cell r="A126" t="str">
            <v>CORREO, PORTES Y TELEGRAMAS</v>
          </cell>
          <cell r="Y126">
            <v>168000</v>
          </cell>
        </row>
        <row r="127">
          <cell r="A127" t="str">
            <v>PUBLICIDAD Y PROPAGANDA</v>
          </cell>
          <cell r="Y127">
            <v>228000</v>
          </cell>
        </row>
        <row r="128">
          <cell r="A128" t="str">
            <v>MANTENIMIENTO Y REPARACIONES</v>
          </cell>
          <cell r="Y128">
            <v>2880000</v>
          </cell>
        </row>
        <row r="129">
          <cell r="A129" t="str">
            <v>INSTALACIONES ELECTRICAS</v>
          </cell>
          <cell r="Y129">
            <v>1848000</v>
          </cell>
        </row>
        <row r="130">
          <cell r="A130" t="str">
            <v>REPARACIONES LOCATIVAS</v>
          </cell>
          <cell r="Y130">
            <v>1788000</v>
          </cell>
        </row>
        <row r="131">
          <cell r="A131" t="str">
            <v>GASTOS DE VIAJE</v>
          </cell>
          <cell r="Y131">
            <v>6636000</v>
          </cell>
        </row>
        <row r="132">
          <cell r="A132" t="str">
            <v>SECADO DE CAFÉ</v>
          </cell>
          <cell r="Y132">
            <v>240000</v>
          </cell>
        </row>
        <row r="133">
          <cell r="A133" t="str">
            <v>DEPRECIACION</v>
          </cell>
          <cell r="Y133">
            <v>14638800</v>
          </cell>
        </row>
        <row r="134">
          <cell r="A134" t="str">
            <v>DIVERSOS</v>
          </cell>
          <cell r="Y134">
            <v>6300000</v>
          </cell>
        </row>
        <row r="135">
          <cell r="A135" t="str">
            <v>COMISIONES</v>
          </cell>
          <cell r="Y135">
            <v>29679782.487693496</v>
          </cell>
        </row>
        <row r="136">
          <cell r="A136" t="str">
            <v>INTERNET</v>
          </cell>
          <cell r="Y136">
            <v>1176000</v>
          </cell>
        </row>
        <row r="137">
          <cell r="A137" t="str">
            <v>ELEMENTOS DE ASEO Y CAFETERIA</v>
          </cell>
          <cell r="Y137">
            <v>1188000</v>
          </cell>
        </row>
        <row r="138">
          <cell r="A138" t="str">
            <v>UTILES, PAPELERIA Y FOTOCOPIAS</v>
          </cell>
          <cell r="Y138">
            <v>2583600</v>
          </cell>
        </row>
        <row r="139">
          <cell r="A139" t="str">
            <v>ENVASES Y EMPAQUES</v>
          </cell>
          <cell r="Y139">
            <v>2718000</v>
          </cell>
        </row>
        <row r="141">
          <cell r="A141" t="str">
            <v>UTILIDAD BRUTA</v>
          </cell>
          <cell r="Y141">
            <v>32416139.07682401</v>
          </cell>
        </row>
        <row r="143">
          <cell r="A143" t="str">
            <v>OTROS  INGRESOS</v>
          </cell>
          <cell r="Y143">
            <v>55800000</v>
          </cell>
        </row>
        <row r="144">
          <cell r="A144" t="str">
            <v>OTROS </v>
          </cell>
          <cell r="Y144">
            <v>55800000</v>
          </cell>
        </row>
        <row r="145">
          <cell r="A145" t="str">
            <v>OTROS GASTOS</v>
          </cell>
          <cell r="Y145">
            <v>40400000</v>
          </cell>
        </row>
        <row r="146">
          <cell r="A146" t="str">
            <v>GASTOS BANCARIOS</v>
          </cell>
          <cell r="Y146">
            <v>34200000</v>
          </cell>
        </row>
        <row r="147">
          <cell r="A147" t="str">
            <v>4*1000</v>
          </cell>
          <cell r="Y147">
            <v>0</v>
          </cell>
        </row>
        <row r="148">
          <cell r="A148" t="str">
            <v>INTERESES LINEA FINANCIAMIENTO</v>
          </cell>
          <cell r="Y148">
            <v>6200000</v>
          </cell>
        </row>
        <row r="150">
          <cell r="A150" t="str">
            <v>UTILIDAD NETA</v>
          </cell>
          <cell r="Y150">
            <v>47816139.07682401</v>
          </cell>
        </row>
        <row r="152">
          <cell r="A152" t="str">
            <v>ADMINISTRACION</v>
          </cell>
        </row>
        <row r="154">
          <cell r="A154" t="str">
            <v>INGRESOS</v>
          </cell>
          <cell r="Y154">
            <v>8141000</v>
          </cell>
        </row>
        <row r="155">
          <cell r="A155" t="str">
            <v>CONTRIBUCIONES </v>
          </cell>
          <cell r="Y155">
            <v>0</v>
          </cell>
        </row>
        <row r="156">
          <cell r="A156" t="str">
            <v>INTERESES DE CREDITO</v>
          </cell>
          <cell r="Y156">
            <v>1800000</v>
          </cell>
        </row>
        <row r="157">
          <cell r="A157" t="str">
            <v>CUOTAS DE ADMISION Y AFILIACION</v>
          </cell>
          <cell r="Y157">
            <v>25000</v>
          </cell>
        </row>
        <row r="158">
          <cell r="A158" t="str">
            <v>  OTROS</v>
          </cell>
          <cell r="Y158">
            <v>600000</v>
          </cell>
        </row>
        <row r="159">
          <cell r="A159" t="str">
            <v>DIVERSOS</v>
          </cell>
          <cell r="Y159">
            <v>5700000</v>
          </cell>
        </row>
        <row r="160">
          <cell r="A160" t="str">
            <v>SECADO DE CAFÉ</v>
          </cell>
          <cell r="Y160">
            <v>0</v>
          </cell>
        </row>
        <row r="161">
          <cell r="A161" t="str">
            <v>CONSULTAS CIFIN</v>
          </cell>
          <cell r="Y161">
            <v>16000</v>
          </cell>
        </row>
        <row r="162">
          <cell r="Y162">
            <v>0</v>
          </cell>
        </row>
        <row r="164">
          <cell r="A164" t="str">
            <v>GASTOS ADMINISTRATIVOS</v>
          </cell>
          <cell r="Y164">
            <v>435448221</v>
          </cell>
        </row>
        <row r="166">
          <cell r="A166" t="str">
            <v>SUELDOS</v>
          </cell>
          <cell r="Y166">
            <v>108305400</v>
          </cell>
        </row>
        <row r="167">
          <cell r="A167" t="str">
            <v>HORAS EXTRAS</v>
          </cell>
          <cell r="Y167">
            <v>0</v>
          </cell>
        </row>
        <row r="168">
          <cell r="A168" t="str">
            <v>VIATICOS</v>
          </cell>
          <cell r="Y168">
            <v>0</v>
          </cell>
        </row>
        <row r="169">
          <cell r="A169" t="str">
            <v>CESANTIAS</v>
          </cell>
          <cell r="Y169">
            <v>9773340</v>
          </cell>
        </row>
        <row r="170">
          <cell r="A170" t="str">
            <v>INTERESES SOBRE CESANTIAS</v>
          </cell>
          <cell r="Y170">
            <v>1172820</v>
          </cell>
        </row>
        <row r="171">
          <cell r="A171" t="str">
            <v>PRIMA DE SERVICIOS</v>
          </cell>
          <cell r="Y171">
            <v>9021900</v>
          </cell>
        </row>
        <row r="172">
          <cell r="A172" t="str">
            <v>VACACIONES</v>
          </cell>
          <cell r="Y172">
            <v>4516440</v>
          </cell>
        </row>
        <row r="173">
          <cell r="A173" t="str">
            <v>PRIMA EXTRALEGAL</v>
          </cell>
          <cell r="Y173">
            <v>9021900</v>
          </cell>
        </row>
        <row r="174">
          <cell r="A174" t="str">
            <v>DOTACION</v>
          </cell>
          <cell r="Y174">
            <v>1034181</v>
          </cell>
        </row>
        <row r="175">
          <cell r="A175" t="str">
            <v>APORTES A SALUD</v>
          </cell>
          <cell r="Y175">
            <v>9205920</v>
          </cell>
        </row>
        <row r="176">
          <cell r="A176" t="str">
            <v>APORTES A PENSION</v>
          </cell>
          <cell r="Y176">
            <v>12996600</v>
          </cell>
        </row>
        <row r="177">
          <cell r="A177" t="str">
            <v>ARP</v>
          </cell>
          <cell r="Y177">
            <v>1130760</v>
          </cell>
        </row>
        <row r="178">
          <cell r="A178" t="str">
            <v>APORTES A CAJA DE COMPENSACION</v>
          </cell>
          <cell r="Y178">
            <v>4332240</v>
          </cell>
        </row>
        <row r="179">
          <cell r="A179" t="str">
            <v>ICBF</v>
          </cell>
          <cell r="Y179">
            <v>3249120</v>
          </cell>
        </row>
        <row r="180">
          <cell r="A180" t="str">
            <v>SENA</v>
          </cell>
          <cell r="Y180">
            <v>2166120</v>
          </cell>
        </row>
        <row r="181">
          <cell r="A181" t="str">
            <v>PRIMA DE VACACIONES</v>
          </cell>
          <cell r="Y181">
            <v>4512840</v>
          </cell>
        </row>
        <row r="182">
          <cell r="A182" t="str">
            <v>PRIMA TECNICA</v>
          </cell>
          <cell r="Y182">
            <v>689450</v>
          </cell>
        </row>
        <row r="183">
          <cell r="A183" t="str">
            <v>PROV.BONIFICACION</v>
          </cell>
          <cell r="Y183">
            <v>4512840</v>
          </cell>
        </row>
        <row r="184">
          <cell r="A184" t="str">
            <v>HONORARIOS</v>
          </cell>
          <cell r="Y184">
            <v>60285750</v>
          </cell>
        </row>
        <row r="185">
          <cell r="A185" t="str">
            <v>ARRENDAMIENTOS</v>
          </cell>
          <cell r="Y185">
            <v>0</v>
          </cell>
        </row>
        <row r="186">
          <cell r="A186" t="str">
            <v>SEGUROS</v>
          </cell>
          <cell r="Y186">
            <v>10466400</v>
          </cell>
        </row>
        <row r="187">
          <cell r="A187" t="str">
            <v>MANTENIMIENTO Y REPARACIONES</v>
          </cell>
          <cell r="Y187">
            <v>960000</v>
          </cell>
        </row>
        <row r="188">
          <cell r="A188" t="str">
            <v>REPARACIONES LOCATIVAS</v>
          </cell>
          <cell r="Y188">
            <v>600000</v>
          </cell>
        </row>
        <row r="189">
          <cell r="A189" t="str">
            <v>ELEMENTOS DE ASEO Y CAFETERIA</v>
          </cell>
          <cell r="Y189">
            <v>6600000</v>
          </cell>
        </row>
        <row r="190">
          <cell r="A190" t="str">
            <v>CAFETERIA</v>
          </cell>
          <cell r="Y190">
            <v>4560000</v>
          </cell>
        </row>
        <row r="191">
          <cell r="A191" t="str">
            <v>ACUEDUCTO Y ALCANTARILLADO</v>
          </cell>
          <cell r="Y191">
            <v>480000</v>
          </cell>
        </row>
        <row r="192">
          <cell r="A192" t="str">
            <v>ENERGIA ELECTRICA</v>
          </cell>
          <cell r="Y192">
            <v>4560000</v>
          </cell>
        </row>
        <row r="193">
          <cell r="A193" t="str">
            <v>TELEFONO</v>
          </cell>
          <cell r="Y193">
            <v>1704000</v>
          </cell>
        </row>
        <row r="194">
          <cell r="A194" t="str">
            <v>CELULAR</v>
          </cell>
          <cell r="Y194">
            <v>7380000</v>
          </cell>
        </row>
        <row r="195">
          <cell r="A195" t="str">
            <v>CORREO, PORTES Y TELEGRAMAS</v>
          </cell>
          <cell r="Y195">
            <v>420000</v>
          </cell>
        </row>
        <row r="196">
          <cell r="A196" t="str">
            <v>INTERNET</v>
          </cell>
          <cell r="Y196">
            <v>672000</v>
          </cell>
        </row>
        <row r="197">
          <cell r="A197" t="str">
            <v>UTILES, PAPELERIA</v>
          </cell>
          <cell r="Y197">
            <v>1800000</v>
          </cell>
        </row>
        <row r="198">
          <cell r="A198" t="str">
            <v>FOTOCOPIAS</v>
          </cell>
          <cell r="Y198">
            <v>1260000</v>
          </cell>
        </row>
        <row r="199">
          <cell r="A199" t="str">
            <v>PUBLICIDAD Y PROPAGANDA</v>
          </cell>
          <cell r="Y199">
            <v>360000</v>
          </cell>
        </row>
        <row r="200">
          <cell r="A200" t="str">
            <v>FLETES Y ACARREOS</v>
          </cell>
          <cell r="Y200">
            <v>120000</v>
          </cell>
        </row>
        <row r="201">
          <cell r="A201" t="str">
            <v>CONTRIBUCIONES Y AFILIACIONES</v>
          </cell>
          <cell r="Y201">
            <v>1200000</v>
          </cell>
        </row>
        <row r="202">
          <cell r="A202" t="str">
            <v>GASTOS ASAMBLEA</v>
          </cell>
          <cell r="Y202">
            <v>4300000</v>
          </cell>
        </row>
        <row r="203">
          <cell r="A203" t="str">
            <v>GASTOS DIRECTIVOS</v>
          </cell>
          <cell r="Y203">
            <v>26400000</v>
          </cell>
        </row>
        <row r="204">
          <cell r="A204" t="str">
            <v>GASTOS LEGALES</v>
          </cell>
          <cell r="Y204">
            <v>1200000</v>
          </cell>
        </row>
        <row r="205">
          <cell r="A205" t="str">
            <v>GASTOS DE VIAJE</v>
          </cell>
          <cell r="Y205">
            <v>36600000</v>
          </cell>
        </row>
        <row r="206">
          <cell r="A206" t="str">
            <v>SISTEMATIZACION</v>
          </cell>
          <cell r="Y206">
            <v>600000</v>
          </cell>
        </row>
        <row r="207">
          <cell r="A207" t="str">
            <v>VIGILACION PRIVADA</v>
          </cell>
          <cell r="Y207">
            <v>1260000</v>
          </cell>
        </row>
        <row r="208">
          <cell r="A208" t="str">
            <v>SUSCRIPCIONES</v>
          </cell>
          <cell r="Y208">
            <v>0</v>
          </cell>
        </row>
        <row r="209">
          <cell r="A209" t="str">
            <v>AUXILIOS Y DONACIONES</v>
          </cell>
          <cell r="Y209">
            <v>60000</v>
          </cell>
        </row>
        <row r="210">
          <cell r="A210" t="str">
            <v>GASTOS FONDO EDUCACION</v>
          </cell>
          <cell r="Y210">
            <v>3000000</v>
          </cell>
        </row>
        <row r="211">
          <cell r="A211" t="str">
            <v>FONDO SOLIDARIDAD</v>
          </cell>
          <cell r="Y211">
            <v>0</v>
          </cell>
        </row>
        <row r="212">
          <cell r="A212" t="str">
            <v>GASTOS VARIOS</v>
          </cell>
          <cell r="Y212">
            <v>31800000</v>
          </cell>
        </row>
        <row r="213">
          <cell r="A213" t="str">
            <v>DEPRECIACION</v>
          </cell>
          <cell r="Y213">
            <v>7348200</v>
          </cell>
        </row>
        <row r="214">
          <cell r="A214" t="str">
            <v>A LA PROPIEDAD RAIZ</v>
          </cell>
          <cell r="Y214">
            <v>950000</v>
          </cell>
        </row>
        <row r="215">
          <cell r="A215" t="str">
            <v>IMPLEMENTACION NIIF</v>
          </cell>
          <cell r="Y215">
            <v>360000</v>
          </cell>
        </row>
        <row r="216">
          <cell r="Y216">
            <v>0</v>
          </cell>
        </row>
        <row r="217">
          <cell r="A217" t="str">
            <v>PROVISIONES VARIAS</v>
          </cell>
          <cell r="Y217">
            <v>32499999.999999996</v>
          </cell>
        </row>
        <row r="220">
          <cell r="A220" t="str">
            <v>OTROS GASTOS</v>
          </cell>
          <cell r="Y220">
            <v>27334200</v>
          </cell>
        </row>
        <row r="221">
          <cell r="A221" t="str">
            <v>INTERESES</v>
          </cell>
          <cell r="Y221">
            <v>0</v>
          </cell>
        </row>
        <row r="222">
          <cell r="A222" t="str">
            <v>CONSULTAS CIFIN</v>
          </cell>
          <cell r="Y222">
            <v>2703000</v>
          </cell>
        </row>
        <row r="223">
          <cell r="A223" t="str">
            <v>4*1000</v>
          </cell>
          <cell r="Y223">
            <v>0</v>
          </cell>
        </row>
        <row r="224">
          <cell r="A224" t="str">
            <v>GASTOS BANCARIOS</v>
          </cell>
          <cell r="Y224">
            <v>24631200</v>
          </cell>
        </row>
        <row r="226">
          <cell r="A226" t="str">
            <v>UTILIDAD O PERDIDA ADMINISTRATIVA</v>
          </cell>
          <cell r="Y226">
            <v>-454641421</v>
          </cell>
        </row>
        <row r="228">
          <cell r="A228" t="str">
            <v>UTILIDAD O PERDIDA DEL EJERCICIO</v>
          </cell>
          <cell r="Y228">
            <v>96902903.49839157</v>
          </cell>
        </row>
      </sheetData>
      <sheetData sheetId="9">
        <row r="6">
          <cell r="Y6">
            <v>2751268435</v>
          </cell>
        </row>
        <row r="7">
          <cell r="Y7">
            <v>387467434</v>
          </cell>
        </row>
        <row r="8">
          <cell r="Y8">
            <v>465645300</v>
          </cell>
        </row>
        <row r="9">
          <cell r="Y9">
            <v>247629300</v>
          </cell>
        </row>
        <row r="10">
          <cell r="Y10">
            <v>2143819300</v>
          </cell>
        </row>
        <row r="13">
          <cell r="Y13">
            <v>2486976916</v>
          </cell>
        </row>
        <row r="14">
          <cell r="Y14">
            <v>347550497</v>
          </cell>
        </row>
        <row r="15">
          <cell r="Y15">
            <v>420475810</v>
          </cell>
        </row>
        <row r="16">
          <cell r="Y16">
            <v>221909505</v>
          </cell>
        </row>
        <row r="17">
          <cell r="Y17">
            <v>1918783094</v>
          </cell>
        </row>
        <row r="22">
          <cell r="Y22">
            <v>39505764</v>
          </cell>
        </row>
        <row r="23">
          <cell r="Y23">
            <v>2331748</v>
          </cell>
        </row>
        <row r="24">
          <cell r="Y24">
            <v>0</v>
          </cell>
        </row>
        <row r="25">
          <cell r="Y25">
            <v>3749715</v>
          </cell>
        </row>
        <row r="26">
          <cell r="Y26">
            <v>444769</v>
          </cell>
        </row>
        <row r="27">
          <cell r="Y27">
            <v>3407759</v>
          </cell>
        </row>
        <row r="28">
          <cell r="Y28">
            <v>1787065</v>
          </cell>
        </row>
        <row r="29">
          <cell r="Y29">
            <v>3407448</v>
          </cell>
        </row>
        <row r="30">
          <cell r="Y30">
            <v>2184885</v>
          </cell>
        </row>
        <row r="31">
          <cell r="Y31">
            <v>4057435</v>
          </cell>
        </row>
        <row r="32">
          <cell r="Y32">
            <v>6017591</v>
          </cell>
        </row>
        <row r="33">
          <cell r="Y33">
            <v>1614259</v>
          </cell>
        </row>
        <row r="34">
          <cell r="Y34">
            <v>2007424</v>
          </cell>
        </row>
        <row r="35">
          <cell r="Y35">
            <v>1505525</v>
          </cell>
        </row>
        <row r="36">
          <cell r="Y36">
            <v>1033926</v>
          </cell>
        </row>
        <row r="37">
          <cell r="Y37">
            <v>917856</v>
          </cell>
        </row>
        <row r="38">
          <cell r="Y38">
            <v>3420250</v>
          </cell>
        </row>
        <row r="39">
          <cell r="Y39">
            <v>7165000</v>
          </cell>
        </row>
        <row r="40">
          <cell r="Y40">
            <v>313128</v>
          </cell>
        </row>
        <row r="41">
          <cell r="Y41">
            <v>0</v>
          </cell>
        </row>
        <row r="42">
          <cell r="Y42">
            <v>30535592</v>
          </cell>
        </row>
        <row r="43">
          <cell r="Y43">
            <v>278967</v>
          </cell>
        </row>
        <row r="44">
          <cell r="Y44">
            <v>2659405</v>
          </cell>
        </row>
        <row r="45">
          <cell r="Y45">
            <v>1502877</v>
          </cell>
        </row>
        <row r="46">
          <cell r="Y46">
            <v>0</v>
          </cell>
        </row>
        <row r="47">
          <cell r="Y47">
            <v>10000</v>
          </cell>
        </row>
        <row r="48">
          <cell r="Y48">
            <v>20143748</v>
          </cell>
        </row>
        <row r="49">
          <cell r="Y49">
            <v>1124194</v>
          </cell>
        </row>
        <row r="50">
          <cell r="Y50">
            <v>1330418</v>
          </cell>
        </row>
        <row r="51">
          <cell r="Y51">
            <v>4512965</v>
          </cell>
        </row>
        <row r="52">
          <cell r="Y52">
            <v>11751147</v>
          </cell>
        </row>
        <row r="53">
          <cell r="Y53">
            <v>859011</v>
          </cell>
        </row>
        <row r="54">
          <cell r="Y54">
            <v>1665900</v>
          </cell>
        </row>
        <row r="55">
          <cell r="Y55">
            <v>676232</v>
          </cell>
        </row>
        <row r="57">
          <cell r="Y57">
            <v>245000</v>
          </cell>
        </row>
        <row r="58">
          <cell r="Y58">
            <v>1212287</v>
          </cell>
        </row>
        <row r="60">
          <cell r="Y60">
            <v>5986934</v>
          </cell>
        </row>
        <row r="64">
          <cell r="Y64">
            <v>8828650</v>
          </cell>
        </row>
        <row r="67">
          <cell r="Y67">
            <v>17464360</v>
          </cell>
        </row>
        <row r="75">
          <cell r="Y75">
            <v>1991962589</v>
          </cell>
        </row>
        <row r="76">
          <cell r="Y76">
            <v>1519133143</v>
          </cell>
        </row>
        <row r="77">
          <cell r="Y77">
            <v>3592848967</v>
          </cell>
        </row>
        <row r="78">
          <cell r="Y78">
            <v>1155981312</v>
          </cell>
        </row>
        <row r="79">
          <cell r="Y79">
            <v>3873944981</v>
          </cell>
        </row>
        <row r="80">
          <cell r="Y80">
            <v>0</v>
          </cell>
        </row>
        <row r="83">
          <cell r="Y83">
            <v>1922937426.69</v>
          </cell>
        </row>
        <row r="84">
          <cell r="Y84">
            <v>1491111894</v>
          </cell>
        </row>
        <row r="85">
          <cell r="Y85">
            <v>3451647828</v>
          </cell>
        </row>
        <row r="86">
          <cell r="Y86">
            <v>1118013308</v>
          </cell>
        </row>
        <row r="87">
          <cell r="Y87">
            <v>3731375000</v>
          </cell>
        </row>
        <row r="93">
          <cell r="Y93">
            <v>33809371</v>
          </cell>
        </row>
        <row r="94">
          <cell r="Y94">
            <v>3064218</v>
          </cell>
        </row>
        <row r="95">
          <cell r="Y95">
            <v>0</v>
          </cell>
        </row>
        <row r="96">
          <cell r="Y96">
            <v>3296070</v>
          </cell>
        </row>
        <row r="97">
          <cell r="Y97">
            <v>389545</v>
          </cell>
        </row>
        <row r="98">
          <cell r="Y98">
            <v>2963187</v>
          </cell>
        </row>
        <row r="99">
          <cell r="Y99">
            <v>1324887</v>
          </cell>
        </row>
        <row r="100">
          <cell r="Y100">
            <v>2963178</v>
          </cell>
        </row>
        <row r="101">
          <cell r="Y101">
            <v>1849338</v>
          </cell>
        </row>
        <row r="102">
          <cell r="Y102">
            <v>3914001</v>
          </cell>
        </row>
        <row r="103">
          <cell r="Y103">
            <v>5259188</v>
          </cell>
        </row>
        <row r="104">
          <cell r="Y104">
            <v>1546247</v>
          </cell>
        </row>
        <row r="105">
          <cell r="Y105">
            <v>1753350</v>
          </cell>
        </row>
        <row r="106">
          <cell r="Y106">
            <v>1315014</v>
          </cell>
        </row>
        <row r="107">
          <cell r="Y107">
            <v>876533</v>
          </cell>
        </row>
        <row r="108">
          <cell r="Y108">
            <v>673460</v>
          </cell>
        </row>
        <row r="109">
          <cell r="Y109">
            <v>2945550</v>
          </cell>
        </row>
        <row r="111">
          <cell r="Y111">
            <v>313129</v>
          </cell>
        </row>
        <row r="112">
          <cell r="Y112">
            <v>43124473</v>
          </cell>
        </row>
        <row r="113">
          <cell r="Y113">
            <v>388465</v>
          </cell>
        </row>
        <row r="114">
          <cell r="Y114">
            <v>1975808</v>
          </cell>
        </row>
        <row r="115">
          <cell r="Y115">
            <v>2174277</v>
          </cell>
        </row>
        <row r="116">
          <cell r="Y116">
            <v>242951</v>
          </cell>
        </row>
        <row r="117">
          <cell r="Y117">
            <v>122162064</v>
          </cell>
        </row>
        <row r="118">
          <cell r="Y118">
            <v>9155500</v>
          </cell>
        </row>
        <row r="119">
          <cell r="Y119">
            <v>108000</v>
          </cell>
        </row>
        <row r="120">
          <cell r="Y120">
            <v>37314226</v>
          </cell>
        </row>
        <row r="121">
          <cell r="Y121">
            <v>3027681</v>
          </cell>
        </row>
        <row r="122">
          <cell r="Y122">
            <v>1682724</v>
          </cell>
        </row>
        <row r="123">
          <cell r="Y123">
            <v>1639772</v>
          </cell>
        </row>
        <row r="124">
          <cell r="Y124">
            <v>6390800</v>
          </cell>
        </row>
        <row r="125">
          <cell r="Y125">
            <v>387900</v>
          </cell>
        </row>
        <row r="126">
          <cell r="Y126">
            <v>14651125</v>
          </cell>
        </row>
        <row r="128">
          <cell r="Y128">
            <v>16570057</v>
          </cell>
        </row>
        <row r="129">
          <cell r="Y129">
            <v>1212282</v>
          </cell>
        </row>
        <row r="130">
          <cell r="Y130">
            <v>1126629</v>
          </cell>
        </row>
        <row r="131">
          <cell r="Y131">
            <v>3192450</v>
          </cell>
        </row>
        <row r="132">
          <cell r="Y132">
            <v>7891322</v>
          </cell>
        </row>
        <row r="137">
          <cell r="Y137">
            <v>48640677</v>
          </cell>
        </row>
        <row r="139">
          <cell r="Y139">
            <v>34876737</v>
          </cell>
        </row>
        <row r="141">
          <cell r="Y141">
            <v>5156662</v>
          </cell>
        </row>
        <row r="149">
          <cell r="Y149">
            <v>11723379</v>
          </cell>
        </row>
        <row r="150">
          <cell r="Y150">
            <v>35000</v>
          </cell>
        </row>
        <row r="151">
          <cell r="Y151">
            <v>1431793</v>
          </cell>
        </row>
        <row r="152">
          <cell r="Y152">
            <v>47590320</v>
          </cell>
        </row>
        <row r="154">
          <cell r="Y154">
            <v>2220000</v>
          </cell>
        </row>
        <row r="155">
          <cell r="Y155">
            <v>4000</v>
          </cell>
        </row>
        <row r="156">
          <cell r="Y156">
            <v>83226000</v>
          </cell>
        </row>
        <row r="160">
          <cell r="Y160">
            <v>100467890</v>
          </cell>
        </row>
        <row r="161">
          <cell r="Y161">
            <v>23971</v>
          </cell>
        </row>
        <row r="162">
          <cell r="Y162">
            <v>180780</v>
          </cell>
        </row>
        <row r="163">
          <cell r="Y163">
            <v>9293133</v>
          </cell>
        </row>
        <row r="164">
          <cell r="Y164">
            <v>1117102</v>
          </cell>
        </row>
        <row r="165">
          <cell r="Y165">
            <v>8501450</v>
          </cell>
        </row>
        <row r="166">
          <cell r="Y166">
            <v>4808980</v>
          </cell>
        </row>
        <row r="167">
          <cell r="Y167">
            <v>8501480</v>
          </cell>
        </row>
        <row r="168">
          <cell r="Y168">
            <v>933777</v>
          </cell>
        </row>
        <row r="170">
          <cell r="Y170">
            <v>9701633</v>
          </cell>
        </row>
        <row r="171">
          <cell r="Y171">
            <v>13737159</v>
          </cell>
        </row>
        <row r="172">
          <cell r="Y172">
            <v>1170094</v>
          </cell>
        </row>
        <row r="173">
          <cell r="Y173">
            <v>4552826</v>
          </cell>
        </row>
        <row r="174">
          <cell r="Y174">
            <v>3414761</v>
          </cell>
        </row>
        <row r="175">
          <cell r="Y175">
            <v>2275641</v>
          </cell>
        </row>
        <row r="176">
          <cell r="Y176">
            <v>3337989</v>
          </cell>
        </row>
        <row r="177">
          <cell r="Y177">
            <v>1073895</v>
          </cell>
        </row>
        <row r="178">
          <cell r="Y178">
            <v>9235000</v>
          </cell>
        </row>
        <row r="179">
          <cell r="Y179">
            <v>35642889</v>
          </cell>
        </row>
        <row r="180">
          <cell r="Y180">
            <v>0</v>
          </cell>
        </row>
        <row r="181">
          <cell r="Y181">
            <v>11075531</v>
          </cell>
        </row>
        <row r="182">
          <cell r="Y182">
            <v>537070</v>
          </cell>
        </row>
        <row r="183">
          <cell r="Y183">
            <v>370212</v>
          </cell>
        </row>
        <row r="184">
          <cell r="Y184">
            <v>7216000</v>
          </cell>
        </row>
        <row r="185">
          <cell r="Y185">
            <v>4554111</v>
          </cell>
        </row>
        <row r="186">
          <cell r="Y186">
            <v>426400</v>
          </cell>
        </row>
        <row r="187">
          <cell r="Y187">
            <v>4449306</v>
          </cell>
        </row>
        <row r="188">
          <cell r="Y188">
            <v>2126429</v>
          </cell>
        </row>
        <row r="189">
          <cell r="Y189">
            <v>5228218</v>
          </cell>
        </row>
        <row r="190">
          <cell r="Y190">
            <v>20700</v>
          </cell>
        </row>
        <row r="191">
          <cell r="Y191">
            <v>520650</v>
          </cell>
        </row>
        <row r="192">
          <cell r="Y192">
            <v>3775387</v>
          </cell>
        </row>
        <row r="193">
          <cell r="Y193">
            <v>1121900</v>
          </cell>
        </row>
        <row r="194">
          <cell r="Y194">
            <v>337000</v>
          </cell>
        </row>
        <row r="195">
          <cell r="Y195">
            <v>865275</v>
          </cell>
        </row>
        <row r="196">
          <cell r="Y196">
            <v>1191200</v>
          </cell>
        </row>
        <row r="197">
          <cell r="Y197">
            <v>4393476</v>
          </cell>
        </row>
        <row r="198">
          <cell r="Y198">
            <v>38065051</v>
          </cell>
        </row>
        <row r="199">
          <cell r="Y199">
            <v>4202103</v>
          </cell>
        </row>
        <row r="200">
          <cell r="Y200">
            <v>30373518.44</v>
          </cell>
        </row>
        <row r="201">
          <cell r="Y201">
            <v>8082000</v>
          </cell>
        </row>
        <row r="202">
          <cell r="Y202">
            <v>1134136</v>
          </cell>
        </row>
        <row r="203">
          <cell r="Y203">
            <v>0</v>
          </cell>
        </row>
        <row r="204">
          <cell r="Y204">
            <v>0</v>
          </cell>
        </row>
        <row r="205">
          <cell r="Y205">
            <v>8475931</v>
          </cell>
        </row>
        <row r="206">
          <cell r="Y206">
            <v>0</v>
          </cell>
        </row>
        <row r="207">
          <cell r="Y207">
            <v>47144387.87</v>
          </cell>
        </row>
        <row r="208">
          <cell r="Y208">
            <v>6977802</v>
          </cell>
        </row>
        <row r="209">
          <cell r="Y209">
            <v>944380</v>
          </cell>
        </row>
        <row r="210">
          <cell r="Y210">
            <v>3681608</v>
          </cell>
        </row>
        <row r="211">
          <cell r="Y211">
            <v>55626816</v>
          </cell>
        </row>
        <row r="212">
          <cell r="Y212">
            <v>29532071</v>
          </cell>
        </row>
        <row r="213">
          <cell r="Y213">
            <v>21352496</v>
          </cell>
        </row>
        <row r="217">
          <cell r="Y217">
            <v>2179696</v>
          </cell>
        </row>
        <row r="218">
          <cell r="Y218">
            <v>26673468</v>
          </cell>
        </row>
        <row r="229">
          <cell r="Y229">
            <v>0.10627019386455777</v>
          </cell>
        </row>
        <row r="230">
          <cell r="Y230">
            <v>0.1148521936943166</v>
          </cell>
        </row>
        <row r="231">
          <cell r="Y231">
            <v>0.10742470535938797</v>
          </cell>
        </row>
        <row r="232">
          <cell r="Y232">
            <v>0.11590217823251871</v>
          </cell>
        </row>
        <row r="233">
          <cell r="Y233">
            <v>0.1172806904040817</v>
          </cell>
        </row>
        <row r="236">
          <cell r="Y236">
            <v>38705</v>
          </cell>
        </row>
        <row r="237">
          <cell r="Y237">
            <v>5037</v>
          </cell>
        </row>
        <row r="238">
          <cell r="Y238">
            <v>6300</v>
          </cell>
        </row>
        <row r="239">
          <cell r="Y239">
            <v>3410</v>
          </cell>
        </row>
        <row r="240">
          <cell r="Y240">
            <v>28372</v>
          </cell>
        </row>
        <row r="250">
          <cell r="Y250">
            <v>64254.66776902209</v>
          </cell>
        </row>
        <row r="251">
          <cell r="Y251">
            <v>68999.50307722851</v>
          </cell>
        </row>
        <row r="252">
          <cell r="Y252">
            <v>66742.19206349207</v>
          </cell>
        </row>
        <row r="253">
          <cell r="Y253">
            <v>65076.10117302053</v>
          </cell>
        </row>
        <row r="254">
          <cell r="Y254">
            <v>67629.46193430142</v>
          </cell>
        </row>
        <row r="259">
          <cell r="Y259">
            <v>0.035895688206981684</v>
          </cell>
        </row>
        <row r="260">
          <cell r="Y260">
            <v>0.018792183948604463</v>
          </cell>
        </row>
        <row r="261">
          <cell r="Y261">
            <v>0.040908327279094596</v>
          </cell>
        </row>
        <row r="262">
          <cell r="Y262">
            <v>0.033960243342649014</v>
          </cell>
        </row>
        <row r="263">
          <cell r="Y263">
            <v>0.03820843013634384</v>
          </cell>
        </row>
        <row r="266">
          <cell r="Y266">
            <v>333649</v>
          </cell>
        </row>
        <row r="267">
          <cell r="Y267">
            <v>266991</v>
          </cell>
        </row>
        <row r="268">
          <cell r="Y268">
            <v>616523</v>
          </cell>
        </row>
        <row r="269">
          <cell r="Y269">
            <v>200891</v>
          </cell>
        </row>
        <row r="270">
          <cell r="Y270">
            <v>670802</v>
          </cell>
        </row>
        <row r="273">
          <cell r="Y273">
            <v>746279.2444305243</v>
          </cell>
        </row>
        <row r="274">
          <cell r="Y274">
            <v>711228.6289612758</v>
          </cell>
        </row>
        <row r="275">
          <cell r="Y275">
            <v>728449.9051535791</v>
          </cell>
        </row>
        <row r="276">
          <cell r="Y276">
            <v>719283.9101801475</v>
          </cell>
        </row>
        <row r="277">
          <cell r="Y277">
            <v>721886.8199930829</v>
          </cell>
        </row>
        <row r="280">
          <cell r="Y280">
            <v>720419.2979336069</v>
          </cell>
        </row>
        <row r="281">
          <cell r="Y281">
            <v>698109.6244817241</v>
          </cell>
        </row>
        <row r="282">
          <cell r="Y282">
            <v>699821.3829816568</v>
          </cell>
        </row>
        <row r="283">
          <cell r="Y283">
            <v>695659.1559601972</v>
          </cell>
        </row>
        <row r="284">
          <cell r="Y284">
            <v>695319.7441271791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65536" sheet="Hoja3"/>
  </cacheSource>
  <cacheFields count="6">
    <cacheField name="NOMBRE">
      <sharedItems containsBlank="1" containsMixedTypes="0" count="28">
        <s v="DISPONIBLE"/>
        <s v="INVERSIONES (CDT)"/>
        <s v="INVENTARIOS"/>
        <s v="CRED. CONS. GTIA ADM SIN LIBRANZA"/>
        <s v="CUENTAS POR COBRAR"/>
        <s v="PROPIEDAD, PLANTA Y EQUIPO"/>
        <s v="DIFERIDOS"/>
        <s v="OTROS ACTIVOS"/>
        <s v="RESPONSABILIDADES PENDIENTES"/>
        <s v="PROVISIONES DE OTROS ACTIVOS"/>
        <s v="INVERSIONES"/>
        <s v="VALORIZACIONES"/>
        <s v="CRED. ORDINARIOS A CORTO PLAZO"/>
        <s v="CUENTAS POR PAGAR"/>
        <s v="IMPUESTOS, GRAVAMENES Y TASAS"/>
        <s v="FONDOS SOCIALES, MUTUALES Y OTROS"/>
        <s v="PASIVOS ESTIMADOS "/>
        <s v="INGRESOS REC. PARA TERCEROS"/>
        <s v="OTROS PASIVOS CORRIENTES"/>
        <s v="CAPITAL SOCIAL"/>
        <s v="RESERVAS"/>
        <s v="FONDOS DE DESTINACION ESPECIFICA"/>
        <s v="SUPERAVIT"/>
        <s v="AUXILIOS Y DONACIONES"/>
        <m/>
        <s v="RESULTADO DE EJERCICIOS ANTERIORES"/>
        <s v="TOTAL ACTIVO CORRIENTE"/>
        <s v="RESULTADO DEL EJERCICIO"/>
      </sharedItems>
    </cacheField>
    <cacheField name="NOTA">
      <sharedItems containsMixedTypes="1" containsNumber="1" containsInteger="1"/>
    </cacheField>
    <cacheField name="2015">
      <sharedItems containsMixedTypes="1" containsNumber="1"/>
    </cacheField>
    <cacheField name="2014">
      <sharedItems containsMixedTypes="1" containsNumber="1"/>
    </cacheField>
    <cacheField name="VARIACION">
      <sharedItems containsMixedTypes="1" containsNumber="1"/>
    </cacheField>
    <cacheField name="ESTADO">
      <sharedItems containsBlank="1" containsMixedTypes="0" count="4">
        <m/>
        <s v="FUENTES"/>
        <s v="USO"/>
        <s v="FUENT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C33" firstHeaderRow="2" firstDataRow="2" firstDataCol="2"/>
  <pivotFields count="6">
    <pivotField axis="axisRow" compact="0" outline="0" subtotalTop="0" showAll="0">
      <items count="29">
        <item x="23"/>
        <item x="19"/>
        <item x="3"/>
        <item x="12"/>
        <item x="4"/>
        <item x="13"/>
        <item x="6"/>
        <item x="0"/>
        <item x="21"/>
        <item x="15"/>
        <item x="14"/>
        <item x="17"/>
        <item x="2"/>
        <item x="10"/>
        <item x="1"/>
        <item x="7"/>
        <item x="18"/>
        <item x="16"/>
        <item x="5"/>
        <item x="9"/>
        <item x="20"/>
        <item x="8"/>
        <item m="1" x="25"/>
        <item m="1" x="27"/>
        <item x="22"/>
        <item m="1" x="26"/>
        <item x="11"/>
        <item x="2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5">
        <item m="1" x="3"/>
        <item x="1"/>
        <item x="2"/>
        <item x="0"/>
        <item t="default"/>
      </items>
    </pivotField>
  </pivotFields>
  <rowFields count="2">
    <field x="5"/>
    <field x="0"/>
  </rowFields>
  <rowItems count="29">
    <i>
      <x v="1"/>
      <x v="1"/>
    </i>
    <i r="1">
      <x v="3"/>
    </i>
    <i r="1">
      <x v="9"/>
    </i>
    <i r="1">
      <x v="11"/>
    </i>
    <i r="1">
      <x v="12"/>
    </i>
    <i r="1">
      <x v="16"/>
    </i>
    <i r="1">
      <x v="18"/>
    </i>
    <i t="default">
      <x v="1"/>
    </i>
    <i>
      <x v="2"/>
      <x v="2"/>
    </i>
    <i r="1">
      <x v="4"/>
    </i>
    <i r="1">
      <x v="5"/>
    </i>
    <i r="1">
      <x v="6"/>
    </i>
    <i r="1">
      <x v="10"/>
    </i>
    <i r="1">
      <x v="17"/>
    </i>
    <i t="default">
      <x v="2"/>
    </i>
    <i>
      <x v="3"/>
      <x/>
    </i>
    <i r="1">
      <x v="7"/>
    </i>
    <i r="1">
      <x v="8"/>
    </i>
    <i r="1">
      <x v="13"/>
    </i>
    <i r="1">
      <x v="14"/>
    </i>
    <i r="1">
      <x v="15"/>
    </i>
    <i r="1">
      <x v="19"/>
    </i>
    <i r="1">
      <x v="20"/>
    </i>
    <i r="1">
      <x v="21"/>
    </i>
    <i r="1">
      <x v="24"/>
    </i>
    <i r="1">
      <x v="26"/>
    </i>
    <i r="1">
      <x v="27"/>
    </i>
    <i t="default">
      <x v="3"/>
    </i>
    <i t="grand">
      <x/>
    </i>
  </rowItems>
  <colItems count="1">
    <i/>
  </colItems>
  <dataFields count="1">
    <dataField name="Suma de VARIACION" fld="4" baseField="0" baseItem="0" numFmtId="2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8"/>
  <sheetViews>
    <sheetView zoomScale="80" zoomScaleNormal="80" zoomScalePageLayoutView="0" workbookViewId="0" topLeftCell="A19">
      <selection activeCell="H36" activeCellId="1" sqref="H33 H36"/>
    </sheetView>
  </sheetViews>
  <sheetFormatPr defaultColWidth="9.140625" defaultRowHeight="15"/>
  <cols>
    <col min="1" max="1" width="5.140625" style="0" customWidth="1"/>
    <col min="2" max="2" width="41.28125" style="0" bestFit="1" customWidth="1"/>
    <col min="3" max="3" width="4.8515625" style="0" customWidth="1"/>
    <col min="4" max="4" width="26.140625" style="183" bestFit="1" customWidth="1"/>
    <col min="5" max="5" width="4.28125" style="0" customWidth="1"/>
    <col min="6" max="6" width="25.421875" style="0" bestFit="1" customWidth="1"/>
    <col min="7" max="7" width="2.57421875" style="0" customWidth="1"/>
    <col min="8" max="8" width="19.8515625" style="2" bestFit="1" customWidth="1"/>
    <col min="9" max="9" width="17.8515625" style="0" bestFit="1" customWidth="1"/>
    <col min="10" max="10" width="10.140625" style="0" bestFit="1" customWidth="1"/>
    <col min="11" max="11" width="37.28125" style="0" customWidth="1"/>
    <col min="12" max="12" width="6.28125" style="0" customWidth="1"/>
    <col min="13" max="13" width="18.8515625" style="0" bestFit="1" customWidth="1"/>
  </cols>
  <sheetData>
    <row r="1" spans="4:7" ht="15">
      <c r="D1" s="182">
        <v>2013</v>
      </c>
      <c r="F1" s="174">
        <v>2014</v>
      </c>
      <c r="G1" s="174"/>
    </row>
    <row r="2" ht="15">
      <c r="B2" t="s">
        <v>0</v>
      </c>
    </row>
    <row r="3" ht="15">
      <c r="B3" t="s">
        <v>1</v>
      </c>
    </row>
    <row r="4" spans="2:11" ht="15">
      <c r="B4" t="s">
        <v>2</v>
      </c>
      <c r="D4" s="130">
        <v>5827189</v>
      </c>
      <c r="F4" s="130">
        <v>15893132</v>
      </c>
      <c r="G4" s="130"/>
      <c r="H4" s="2">
        <f>+F4-D4</f>
        <v>10065943</v>
      </c>
      <c r="I4" s="4">
        <f>+H4/D4</f>
        <v>1.72740973392145</v>
      </c>
      <c r="K4" s="13"/>
    </row>
    <row r="5" spans="2:11" ht="15">
      <c r="B5" t="s">
        <v>3</v>
      </c>
      <c r="D5" s="130">
        <v>197700320</v>
      </c>
      <c r="F5" s="130">
        <v>121528331.26</v>
      </c>
      <c r="G5" s="130"/>
      <c r="H5" s="2">
        <f aca="true" t="shared" si="0" ref="H5:H68">+F5-D5</f>
        <v>-76171988.74</v>
      </c>
      <c r="I5" s="4">
        <f>+H5/D5</f>
        <v>-0.38529016412315364</v>
      </c>
      <c r="K5" s="13"/>
    </row>
    <row r="6" spans="2:9" ht="15">
      <c r="B6" t="s">
        <v>4</v>
      </c>
      <c r="D6" s="130">
        <v>150534321</v>
      </c>
      <c r="F6" s="130">
        <v>216678298.95</v>
      </c>
      <c r="G6" s="130"/>
      <c r="H6" s="2">
        <f t="shared" si="0"/>
        <v>66143977.94999999</v>
      </c>
      <c r="I6" s="4">
        <f>+H6/D6</f>
        <v>0.43939466767847574</v>
      </c>
    </row>
    <row r="7" spans="2:9" ht="15">
      <c r="B7" t="s">
        <v>5</v>
      </c>
      <c r="D7" s="130">
        <v>0</v>
      </c>
      <c r="F7" s="130">
        <v>1100000</v>
      </c>
      <c r="G7" s="130"/>
      <c r="H7" s="2">
        <f t="shared" si="0"/>
        <v>1100000</v>
      </c>
      <c r="I7" s="4"/>
    </row>
    <row r="8" spans="2:11" ht="15">
      <c r="B8" t="s">
        <v>6</v>
      </c>
      <c r="D8" s="130">
        <v>1178173302</v>
      </c>
      <c r="F8" s="130">
        <v>1018665386.09</v>
      </c>
      <c r="G8" s="130"/>
      <c r="H8" s="2">
        <f t="shared" si="0"/>
        <v>-159507915.90999997</v>
      </c>
      <c r="I8" s="4">
        <f>+H8/D8</f>
        <v>-0.13538578377156263</v>
      </c>
      <c r="K8" s="5"/>
    </row>
    <row r="9" spans="2:9" ht="15">
      <c r="B9" t="s">
        <v>7</v>
      </c>
      <c r="D9" s="130">
        <v>-7791970.86</v>
      </c>
      <c r="F9" s="130">
        <v>-11487172</v>
      </c>
      <c r="G9" s="130"/>
      <c r="H9" s="2">
        <f t="shared" si="0"/>
        <v>-3695201.1399999997</v>
      </c>
      <c r="I9" s="4">
        <f>+H9/D9</f>
        <v>0.47423189927073206</v>
      </c>
    </row>
    <row r="10" spans="2:9" ht="15">
      <c r="B10" t="s">
        <v>8</v>
      </c>
      <c r="D10" s="130">
        <f>63001052+94421504</f>
        <v>157422556</v>
      </c>
      <c r="F10" s="130">
        <v>167599802</v>
      </c>
      <c r="G10" s="130"/>
      <c r="H10" s="2">
        <f t="shared" si="0"/>
        <v>10177246</v>
      </c>
      <c r="I10" s="4">
        <f>+H10/D10</f>
        <v>0.06464922345689775</v>
      </c>
    </row>
    <row r="11" spans="2:9" ht="15">
      <c r="B11" t="s">
        <v>9</v>
      </c>
      <c r="D11" s="130">
        <v>-51894408</v>
      </c>
      <c r="F11" s="130">
        <v>-32795450</v>
      </c>
      <c r="G11" s="130"/>
      <c r="H11" s="2">
        <f t="shared" si="0"/>
        <v>19098958</v>
      </c>
      <c r="I11" s="4">
        <f>+H11/D11</f>
        <v>-0.36803499136168966</v>
      </c>
    </row>
    <row r="12" spans="2:9" ht="15">
      <c r="B12" t="s">
        <v>10</v>
      </c>
      <c r="D12" s="130">
        <v>-1574226</v>
      </c>
      <c r="F12" s="130">
        <v>-1675998</v>
      </c>
      <c r="G12" s="130"/>
      <c r="H12" s="2">
        <f t="shared" si="0"/>
        <v>-101772</v>
      </c>
      <c r="I12" s="4">
        <f aca="true" t="shared" si="1" ref="I12:I20">+H12/D13</f>
        <v>-0.0016157965113770194</v>
      </c>
    </row>
    <row r="13" spans="2:9" ht="15">
      <c r="B13" t="s">
        <v>11</v>
      </c>
      <c r="D13" s="130">
        <v>62985654</v>
      </c>
      <c r="F13" s="130">
        <v>62610654</v>
      </c>
      <c r="G13" s="130"/>
      <c r="H13" s="2">
        <f t="shared" si="0"/>
        <v>-375000</v>
      </c>
      <c r="I13" s="4" t="e">
        <f t="shared" si="1"/>
        <v>#DIV/0!</v>
      </c>
    </row>
    <row r="14" spans="2:9" ht="15">
      <c r="B14" t="s">
        <v>12</v>
      </c>
      <c r="D14" s="130">
        <v>0</v>
      </c>
      <c r="F14" s="130">
        <v>465526</v>
      </c>
      <c r="G14" s="130"/>
      <c r="H14" s="2">
        <f t="shared" si="0"/>
        <v>465526</v>
      </c>
      <c r="I14" s="4">
        <f t="shared" si="1"/>
        <v>0.0152671710662633</v>
      </c>
    </row>
    <row r="15" spans="2:11" ht="15">
      <c r="B15" t="s">
        <v>13</v>
      </c>
      <c r="D15" s="130">
        <v>30491962</v>
      </c>
      <c r="F15" s="130">
        <v>24015188</v>
      </c>
      <c r="G15" s="130"/>
      <c r="H15" s="2">
        <f t="shared" si="0"/>
        <v>-6476774</v>
      </c>
      <c r="I15" s="4">
        <f t="shared" si="1"/>
        <v>-0.08824232392041313</v>
      </c>
      <c r="K15" s="12">
        <f>+F15+F14</f>
        <v>24480714</v>
      </c>
    </row>
    <row r="16" spans="2:11" ht="15">
      <c r="B16" t="s">
        <v>14</v>
      </c>
      <c r="D16" s="130">
        <v>73397591</v>
      </c>
      <c r="F16" s="130">
        <v>77802456</v>
      </c>
      <c r="G16" s="130"/>
      <c r="H16" s="2">
        <f t="shared" si="0"/>
        <v>4404865</v>
      </c>
      <c r="I16" s="4">
        <f t="shared" si="1"/>
        <v>0.8896265756264334</v>
      </c>
      <c r="K16">
        <v>24480714</v>
      </c>
    </row>
    <row r="17" spans="2:9" ht="15">
      <c r="B17" t="s">
        <v>15</v>
      </c>
      <c r="D17" s="130">
        <v>4951364</v>
      </c>
      <c r="F17" s="6">
        <v>5757779</v>
      </c>
      <c r="G17" s="130"/>
      <c r="H17" s="2">
        <f t="shared" si="0"/>
        <v>806415</v>
      </c>
      <c r="I17" s="4">
        <f t="shared" si="1"/>
        <v>1.0074311280159174</v>
      </c>
    </row>
    <row r="18" spans="2:9" ht="15">
      <c r="B18" t="s">
        <v>16</v>
      </c>
      <c r="D18" s="130">
        <v>800466.63</v>
      </c>
      <c r="F18" s="130">
        <v>769369.63</v>
      </c>
      <c r="G18" s="130"/>
      <c r="H18" s="2">
        <f t="shared" si="0"/>
        <v>-31097</v>
      </c>
      <c r="I18" s="4">
        <f t="shared" si="1"/>
        <v>-0.01888720226570142</v>
      </c>
    </row>
    <row r="19" spans="2:9" ht="15">
      <c r="B19" t="s">
        <v>17</v>
      </c>
      <c r="D19" s="130">
        <v>1646458.78</v>
      </c>
      <c r="F19" s="130">
        <v>1498068</v>
      </c>
      <c r="G19" s="130"/>
      <c r="H19" s="2">
        <f t="shared" si="0"/>
        <v>-148390.78000000003</v>
      </c>
      <c r="I19" s="4">
        <f t="shared" si="1"/>
        <v>-0.0011730878497462555</v>
      </c>
    </row>
    <row r="20" spans="2:11" ht="15">
      <c r="B20" t="s">
        <v>18</v>
      </c>
      <c r="D20" s="130">
        <v>126495880.11</v>
      </c>
      <c r="F20" s="6">
        <v>38795771.24</v>
      </c>
      <c r="G20" s="130"/>
      <c r="H20" s="2">
        <f t="shared" si="0"/>
        <v>-87700108.87</v>
      </c>
      <c r="I20" s="4">
        <f t="shared" si="1"/>
        <v>9.281770590264843</v>
      </c>
      <c r="K20" s="109">
        <f>SUM(H18:H20)+H13+H14+H16+H17</f>
        <v>-82577790.65</v>
      </c>
    </row>
    <row r="21" spans="2:11" ht="15">
      <c r="B21" t="s">
        <v>19</v>
      </c>
      <c r="D21" s="130">
        <v>-9448640</v>
      </c>
      <c r="F21" s="130">
        <v>-9448640</v>
      </c>
      <c r="G21" s="130"/>
      <c r="H21" s="2">
        <f t="shared" si="0"/>
        <v>0</v>
      </c>
      <c r="I21" s="4" t="e">
        <f>+H21/#REF!</f>
        <v>#REF!</v>
      </c>
      <c r="K21" s="12">
        <f>+F21+F22</f>
        <v>-15206419</v>
      </c>
    </row>
    <row r="22" spans="2:11" ht="15">
      <c r="B22" t="s">
        <v>20</v>
      </c>
      <c r="C22" s="130"/>
      <c r="D22" s="183">
        <v>-3628996</v>
      </c>
      <c r="F22" s="130">
        <v>-5757779</v>
      </c>
      <c r="G22" s="130"/>
      <c r="H22" s="2">
        <f t="shared" si="0"/>
        <v>-2128783</v>
      </c>
      <c r="I22" s="4">
        <f>+H22/D22</f>
        <v>0.5866038430463963</v>
      </c>
      <c r="K22">
        <v>15206419</v>
      </c>
    </row>
    <row r="23" spans="2:14" ht="15">
      <c r="B23" t="s">
        <v>21</v>
      </c>
      <c r="D23" s="183">
        <v>-21755346.78</v>
      </c>
      <c r="F23" s="130">
        <v>-76682486.78</v>
      </c>
      <c r="G23" s="130"/>
      <c r="H23" s="2">
        <f t="shared" si="0"/>
        <v>-54927140</v>
      </c>
      <c r="I23" s="4">
        <f>+H23/D23</f>
        <v>2.52476508673699</v>
      </c>
      <c r="K23" s="13"/>
      <c r="L23" s="13"/>
      <c r="M23" s="13"/>
      <c r="N23" s="13">
        <f>SUM(G4:G23)</f>
        <v>0</v>
      </c>
    </row>
    <row r="24" spans="6:14" ht="15">
      <c r="F24" s="130"/>
      <c r="H24" s="2">
        <f t="shared" si="0"/>
        <v>0</v>
      </c>
      <c r="K24" s="13"/>
      <c r="L24" s="13"/>
      <c r="M24" s="13"/>
      <c r="N24" s="13">
        <f>SUM(G53:G64)</f>
        <v>0</v>
      </c>
    </row>
    <row r="25" spans="2:13" ht="15">
      <c r="B25" t="s">
        <v>22</v>
      </c>
      <c r="D25" s="13">
        <f>SUM(D4:D24)</f>
        <v>1894333476.88</v>
      </c>
      <c r="E25" s="13">
        <f>SUM(E4:E24)</f>
        <v>0</v>
      </c>
      <c r="F25" s="13">
        <f>SUM(F4:F24)</f>
        <v>1615332236.39</v>
      </c>
      <c r="H25" s="2">
        <f t="shared" si="0"/>
        <v>-279001240.49</v>
      </c>
      <c r="K25" s="12"/>
      <c r="L25" s="12"/>
      <c r="M25" s="12"/>
    </row>
    <row r="26" spans="8:11" ht="15">
      <c r="H26" s="2">
        <f t="shared" si="0"/>
        <v>0</v>
      </c>
      <c r="K26" s="12"/>
    </row>
    <row r="27" spans="6:8" ht="15">
      <c r="F27" s="181"/>
      <c r="H27" s="2">
        <f t="shared" si="0"/>
        <v>0</v>
      </c>
    </row>
    <row r="28" ht="15">
      <c r="H28" s="2">
        <f t="shared" si="0"/>
        <v>0</v>
      </c>
    </row>
    <row r="29" spans="2:8" ht="15">
      <c r="B29" t="s">
        <v>23</v>
      </c>
      <c r="H29" s="2">
        <f t="shared" si="0"/>
        <v>0</v>
      </c>
    </row>
    <row r="30" spans="2:9" ht="15">
      <c r="B30" t="s">
        <v>24</v>
      </c>
      <c r="D30" s="130">
        <v>26760190</v>
      </c>
      <c r="F30" s="130">
        <v>26760190</v>
      </c>
      <c r="G30" s="130"/>
      <c r="H30" s="2">
        <f t="shared" si="0"/>
        <v>0</v>
      </c>
      <c r="I30" s="4">
        <f>+H30/D30</f>
        <v>0</v>
      </c>
    </row>
    <row r="31" spans="2:9" ht="15">
      <c r="B31" t="s">
        <v>25</v>
      </c>
      <c r="D31" s="130">
        <v>317303216.09</v>
      </c>
      <c r="F31" s="130">
        <v>316736286.09</v>
      </c>
      <c r="G31" s="130"/>
      <c r="H31" s="2">
        <f t="shared" si="0"/>
        <v>-566930</v>
      </c>
      <c r="I31" s="4">
        <f aca="true" t="shared" si="2" ref="I31:I37">+H31/D31</f>
        <v>-0.001786713689782444</v>
      </c>
    </row>
    <row r="32" spans="2:9" ht="15">
      <c r="B32" t="s">
        <v>26</v>
      </c>
      <c r="D32" s="130">
        <v>76442003</v>
      </c>
      <c r="F32" s="130">
        <v>85226794</v>
      </c>
      <c r="G32" s="130"/>
      <c r="H32" s="2">
        <f t="shared" si="0"/>
        <v>8784791</v>
      </c>
      <c r="I32" s="4">
        <f t="shared" si="2"/>
        <v>0.11492099441716618</v>
      </c>
    </row>
    <row r="33" spans="2:9" ht="15">
      <c r="B33" t="s">
        <v>27</v>
      </c>
      <c r="D33" s="130">
        <v>11591340</v>
      </c>
      <c r="F33" s="130"/>
      <c r="G33" s="130"/>
      <c r="H33" s="2">
        <f t="shared" si="0"/>
        <v>-11591340</v>
      </c>
      <c r="I33" s="4">
        <f t="shared" si="2"/>
        <v>-1</v>
      </c>
    </row>
    <row r="34" spans="2:9" ht="15">
      <c r="B34" t="s">
        <v>28</v>
      </c>
      <c r="D34" s="130">
        <v>73990174</v>
      </c>
      <c r="F34" s="130">
        <v>47088123</v>
      </c>
      <c r="G34" s="130"/>
      <c r="H34" s="2">
        <f t="shared" si="0"/>
        <v>-26902051</v>
      </c>
      <c r="I34" s="4">
        <f t="shared" si="2"/>
        <v>-0.36358950852041516</v>
      </c>
    </row>
    <row r="35" spans="2:9" ht="15">
      <c r="B35" t="s">
        <v>29</v>
      </c>
      <c r="D35" s="130">
        <v>149396507</v>
      </c>
      <c r="F35" s="130">
        <v>183228149</v>
      </c>
      <c r="G35" s="130"/>
      <c r="H35" s="2">
        <f t="shared" si="0"/>
        <v>33831642</v>
      </c>
      <c r="I35" s="4">
        <f t="shared" si="2"/>
        <v>0.22645537489039153</v>
      </c>
    </row>
    <row r="36" spans="2:9" ht="15">
      <c r="B36" t="s">
        <v>30</v>
      </c>
      <c r="D36" s="130">
        <v>3239000</v>
      </c>
      <c r="F36" s="130"/>
      <c r="G36" s="130"/>
      <c r="H36" s="2">
        <f t="shared" si="0"/>
        <v>-3239000</v>
      </c>
      <c r="I36" s="4">
        <f t="shared" si="2"/>
        <v>-1</v>
      </c>
    </row>
    <row r="37" spans="2:9" ht="15">
      <c r="B37" t="s">
        <v>31</v>
      </c>
      <c r="D37" s="130">
        <v>-396033037</v>
      </c>
      <c r="F37" s="130">
        <v>-430461950</v>
      </c>
      <c r="G37" s="130"/>
      <c r="H37" s="2">
        <f t="shared" si="0"/>
        <v>-34428913</v>
      </c>
      <c r="I37" s="4">
        <f t="shared" si="2"/>
        <v>0.08693444683505028</v>
      </c>
    </row>
    <row r="38" spans="2:8" ht="15">
      <c r="H38" s="2">
        <f t="shared" si="0"/>
        <v>0</v>
      </c>
    </row>
    <row r="39" spans="2:8" ht="15">
      <c r="B39" t="s">
        <v>33</v>
      </c>
      <c r="H39" s="2">
        <f t="shared" si="0"/>
        <v>0</v>
      </c>
    </row>
    <row r="40" spans="2:11" ht="15">
      <c r="B40" t="s">
        <v>34</v>
      </c>
      <c r="D40" s="130">
        <v>44209157</v>
      </c>
      <c r="F40" s="130">
        <v>35889688.59</v>
      </c>
      <c r="G40" s="130"/>
      <c r="H40" s="2">
        <f t="shared" si="0"/>
        <v>-8319468.409999996</v>
      </c>
      <c r="I40" s="4">
        <f aca="true" t="shared" si="3" ref="I40:I46">+H40/D40</f>
        <v>-0.1881842806909889</v>
      </c>
      <c r="K40" s="5"/>
    </row>
    <row r="41" spans="2:9" ht="15">
      <c r="B41" t="s">
        <v>35</v>
      </c>
      <c r="D41" s="130">
        <v>32406470</v>
      </c>
      <c r="F41" s="6">
        <v>55766683.3</v>
      </c>
      <c r="G41" s="130"/>
      <c r="H41" s="2">
        <f t="shared" si="0"/>
        <v>23360213.299999997</v>
      </c>
      <c r="I41" s="4">
        <f t="shared" si="3"/>
        <v>0.7208502900809621</v>
      </c>
    </row>
    <row r="42" spans="2:9" ht="15">
      <c r="B42" t="s">
        <v>36</v>
      </c>
      <c r="D42" s="130">
        <v>3472655</v>
      </c>
      <c r="F42" s="130">
        <v>0</v>
      </c>
      <c r="G42" s="130"/>
      <c r="H42" s="2">
        <f t="shared" si="0"/>
        <v>-3472655</v>
      </c>
      <c r="I42" s="4">
        <f t="shared" si="3"/>
        <v>-1</v>
      </c>
    </row>
    <row r="43" spans="2:9" ht="15">
      <c r="B43" t="s">
        <v>37</v>
      </c>
      <c r="D43" s="130">
        <v>505423276</v>
      </c>
      <c r="F43" s="130">
        <v>462471080</v>
      </c>
      <c r="G43" s="130"/>
      <c r="H43" s="2">
        <f t="shared" si="0"/>
        <v>-42952196</v>
      </c>
      <c r="I43" s="4">
        <f t="shared" si="3"/>
        <v>-0.08498262355451948</v>
      </c>
    </row>
    <row r="44" spans="2:9" ht="15">
      <c r="B44" t="s">
        <v>38</v>
      </c>
      <c r="D44" s="130">
        <v>121828197.02</v>
      </c>
      <c r="F44" s="130">
        <v>121828197.02</v>
      </c>
      <c r="G44" s="130"/>
      <c r="H44" s="2">
        <f t="shared" si="0"/>
        <v>0</v>
      </c>
      <c r="I44" s="4">
        <f t="shared" si="3"/>
        <v>0</v>
      </c>
    </row>
    <row r="45" spans="2:9" ht="15">
      <c r="B45" t="s">
        <v>39</v>
      </c>
      <c r="D45" s="130">
        <v>448478286.02</v>
      </c>
      <c r="F45" s="130">
        <f>448478286.02</f>
        <v>448478286.02</v>
      </c>
      <c r="G45" s="130"/>
      <c r="H45" s="2">
        <f t="shared" si="0"/>
        <v>0</v>
      </c>
      <c r="I45" s="4">
        <f t="shared" si="3"/>
        <v>0</v>
      </c>
    </row>
    <row r="46" spans="2:9" ht="15">
      <c r="B46" t="s">
        <v>40</v>
      </c>
      <c r="D46" s="130">
        <v>-262203170</v>
      </c>
      <c r="F46" s="130">
        <v>-462471080.22</v>
      </c>
      <c r="G46" s="130"/>
      <c r="H46" s="2">
        <f t="shared" si="0"/>
        <v>-200267910.22000003</v>
      </c>
      <c r="I46" s="4">
        <f t="shared" si="3"/>
        <v>0.7637890503764696</v>
      </c>
    </row>
    <row r="47" spans="2:8" ht="15">
      <c r="H47" s="2">
        <f>SUM(H30:H46)</f>
        <v>-265763817.33000004</v>
      </c>
    </row>
    <row r="48" spans="2:8" ht="15">
      <c r="B48" s="9" t="s">
        <v>41</v>
      </c>
      <c r="C48" s="9"/>
      <c r="D48" s="10">
        <f>SUM(D25:D47)</f>
        <v>3050637741.01</v>
      </c>
      <c r="E48" s="10">
        <f>SUM(E25:E47)</f>
        <v>0</v>
      </c>
      <c r="F48" s="10">
        <f>SUM(F25:F47)</f>
        <v>2505872683.1899996</v>
      </c>
      <c r="G48" s="10"/>
      <c r="H48" s="2">
        <f t="shared" si="0"/>
        <v>-544765057.8200006</v>
      </c>
    </row>
    <row r="49" spans="2:8" ht="15">
      <c r="H49" s="2">
        <f t="shared" si="0"/>
        <v>0</v>
      </c>
    </row>
    <row r="50" spans="2:8" ht="15">
      <c r="H50" s="2">
        <f t="shared" si="0"/>
        <v>0</v>
      </c>
    </row>
    <row r="51" spans="2:8" ht="15">
      <c r="B51" t="s">
        <v>42</v>
      </c>
      <c r="H51" s="2">
        <f t="shared" si="0"/>
        <v>0</v>
      </c>
    </row>
    <row r="52" spans="2:8" ht="15">
      <c r="B52" t="s">
        <v>43</v>
      </c>
      <c r="H52" s="2">
        <f t="shared" si="0"/>
        <v>0</v>
      </c>
    </row>
    <row r="53" spans="2:9" ht="15">
      <c r="B53" t="s">
        <v>44</v>
      </c>
      <c r="D53" s="130">
        <v>290423450</v>
      </c>
      <c r="F53" s="130">
        <v>352896616</v>
      </c>
      <c r="G53" s="130"/>
      <c r="H53" s="2">
        <f t="shared" si="0"/>
        <v>62473166</v>
      </c>
      <c r="I53" s="4">
        <f aca="true" t="shared" si="4" ref="I53:I64">+H53/D53</f>
        <v>0.2151106117636162</v>
      </c>
    </row>
    <row r="54" spans="2:11" ht="15">
      <c r="B54" t="s">
        <v>45</v>
      </c>
      <c r="D54" s="130">
        <v>221771297</v>
      </c>
      <c r="F54" s="130">
        <v>142513998.21</v>
      </c>
      <c r="G54" s="130"/>
      <c r="H54" s="2">
        <f t="shared" si="0"/>
        <v>-79257298.78999999</v>
      </c>
      <c r="I54" s="4">
        <f t="shared" si="4"/>
        <v>-0.3573830331614104</v>
      </c>
      <c r="K54" s="479"/>
    </row>
    <row r="55" spans="2:11" ht="15">
      <c r="B55" t="s">
        <v>46</v>
      </c>
      <c r="D55" s="130">
        <v>957633741</v>
      </c>
      <c r="F55" s="130">
        <v>834740911</v>
      </c>
      <c r="G55" s="130"/>
      <c r="H55" s="2">
        <f t="shared" si="0"/>
        <v>-122892830</v>
      </c>
      <c r="I55" s="4">
        <f t="shared" si="4"/>
        <v>-0.12832967839214846</v>
      </c>
      <c r="K55" s="479"/>
    </row>
    <row r="56" spans="2:9" ht="15">
      <c r="B56" t="s">
        <v>47</v>
      </c>
      <c r="D56" s="130">
        <v>1554516</v>
      </c>
      <c r="F56" s="6">
        <v>4173533</v>
      </c>
      <c r="G56" s="130"/>
      <c r="H56" s="2">
        <f t="shared" si="0"/>
        <v>2619017</v>
      </c>
      <c r="I56" s="4">
        <f t="shared" si="4"/>
        <v>1.6847796999194604</v>
      </c>
    </row>
    <row r="57" spans="2:9" ht="15">
      <c r="B57" t="s">
        <v>48</v>
      </c>
      <c r="D57" s="130">
        <v>6656143</v>
      </c>
      <c r="F57" s="130">
        <v>8541887</v>
      </c>
      <c r="G57" s="130"/>
      <c r="H57" s="2">
        <f t="shared" si="0"/>
        <v>1885744</v>
      </c>
      <c r="I57" s="4">
        <f t="shared" si="4"/>
        <v>0.28330881713328576</v>
      </c>
    </row>
    <row r="58" spans="2:9" ht="15">
      <c r="B58" t="s">
        <v>49</v>
      </c>
      <c r="D58" s="130">
        <v>3071532</v>
      </c>
      <c r="F58" s="11">
        <v>0</v>
      </c>
      <c r="G58" s="130"/>
      <c r="H58" s="2">
        <f t="shared" si="0"/>
        <v>-3071532</v>
      </c>
      <c r="I58" s="4">
        <f t="shared" si="4"/>
        <v>-1</v>
      </c>
    </row>
    <row r="59" spans="2:9" ht="15">
      <c r="B59" t="s">
        <v>50</v>
      </c>
      <c r="D59" s="130">
        <v>8704878</v>
      </c>
      <c r="F59" s="11">
        <v>8704878</v>
      </c>
      <c r="G59" s="130"/>
      <c r="H59" s="2">
        <f t="shared" si="0"/>
        <v>0</v>
      </c>
      <c r="I59" s="4">
        <f t="shared" si="4"/>
        <v>0</v>
      </c>
    </row>
    <row r="60" spans="2:9" ht="15">
      <c r="B60" t="s">
        <v>51</v>
      </c>
      <c r="D60" s="130"/>
      <c r="F60" s="130">
        <v>9272001.23</v>
      </c>
      <c r="G60" s="130"/>
      <c r="H60" s="2">
        <f t="shared" si="0"/>
        <v>9272001.23</v>
      </c>
      <c r="I60" s="4"/>
    </row>
    <row r="61" spans="2:9" ht="15">
      <c r="B61" t="s">
        <v>52</v>
      </c>
      <c r="D61" s="130">
        <v>3965000</v>
      </c>
      <c r="F61" s="130"/>
      <c r="G61" s="130"/>
      <c r="H61" s="2">
        <f t="shared" si="0"/>
        <v>-3965000</v>
      </c>
      <c r="I61" s="4">
        <f t="shared" si="4"/>
        <v>-1</v>
      </c>
    </row>
    <row r="62" spans="2:9" ht="15">
      <c r="B62" t="s">
        <v>53</v>
      </c>
      <c r="D62" s="130">
        <v>52167.81</v>
      </c>
      <c r="F62" s="130"/>
      <c r="G62" s="130"/>
      <c r="H62" s="2">
        <f t="shared" si="0"/>
        <v>-52167.81</v>
      </c>
      <c r="I62" s="4">
        <f t="shared" si="4"/>
        <v>-1</v>
      </c>
    </row>
    <row r="63" spans="2:9" ht="15">
      <c r="B63" t="s">
        <v>54</v>
      </c>
      <c r="D63" s="130">
        <v>7816788</v>
      </c>
      <c r="F63" s="130">
        <f>8608653.81</f>
        <v>8608653.81</v>
      </c>
      <c r="G63" s="130"/>
      <c r="H63" s="2">
        <f t="shared" si="0"/>
        <v>791865.8100000005</v>
      </c>
      <c r="I63" s="4">
        <f t="shared" si="4"/>
        <v>0.10130322198836664</v>
      </c>
    </row>
    <row r="64" spans="2:9" ht="15">
      <c r="B64" t="s">
        <v>55</v>
      </c>
      <c r="D64" s="130">
        <v>106798915</v>
      </c>
      <c r="F64" s="130">
        <v>73069141</v>
      </c>
      <c r="G64" s="130"/>
      <c r="H64" s="2">
        <f t="shared" si="0"/>
        <v>-33729774</v>
      </c>
      <c r="I64" s="4">
        <f t="shared" si="4"/>
        <v>-0.3158250624549884</v>
      </c>
    </row>
    <row r="65" spans="4:8" ht="15">
      <c r="D65" s="130"/>
      <c r="H65" s="2">
        <f t="shared" si="0"/>
        <v>0</v>
      </c>
    </row>
    <row r="66" spans="2:11" ht="15">
      <c r="B66" t="s">
        <v>56</v>
      </c>
      <c r="D66" s="13">
        <f>SUM(D53:D64)</f>
        <v>1608448427.81</v>
      </c>
      <c r="E66" s="13">
        <f>SUM(E53:E64)</f>
        <v>0</v>
      </c>
      <c r="F66" s="13">
        <f>SUM(F53:F64)</f>
        <v>1442521619.25</v>
      </c>
      <c r="H66" s="2">
        <f t="shared" si="0"/>
        <v>-165926808.55999994</v>
      </c>
      <c r="I66" s="12">
        <f>+D25-F66</f>
        <v>451811857.6300001</v>
      </c>
      <c r="J66" s="12">
        <f>+E25-G66</f>
        <v>0</v>
      </c>
      <c r="K66" s="12">
        <f>+F25-H66</f>
        <v>1781259044.95</v>
      </c>
    </row>
    <row r="67" spans="2:8" ht="15">
      <c r="B67" t="s">
        <v>57</v>
      </c>
      <c r="H67" s="2">
        <f t="shared" si="0"/>
        <v>0</v>
      </c>
    </row>
    <row r="68" spans="2:9" ht="15">
      <c r="B68" t="s">
        <v>58</v>
      </c>
      <c r="D68" s="130">
        <v>29768000</v>
      </c>
      <c r="F68" s="130">
        <v>0</v>
      </c>
      <c r="G68" s="130"/>
      <c r="H68" s="2">
        <f t="shared" si="0"/>
        <v>-29768000</v>
      </c>
      <c r="I68" s="4">
        <f>+H68/D68</f>
        <v>-1</v>
      </c>
    </row>
    <row r="69" spans="2:9" ht="15">
      <c r="B69" t="s">
        <v>59</v>
      </c>
      <c r="D69" s="130">
        <v>9197593</v>
      </c>
      <c r="F69" s="130">
        <v>0</v>
      </c>
      <c r="G69" s="130"/>
      <c r="H69" s="2">
        <f aca="true" t="shared" si="5" ref="H69:H91">+F69-D69</f>
        <v>-9197593</v>
      </c>
      <c r="I69" s="4">
        <f>+H69/D69</f>
        <v>-1</v>
      </c>
    </row>
    <row r="70" spans="2:9" ht="15">
      <c r="B70" t="s">
        <v>60</v>
      </c>
      <c r="F70" s="130">
        <v>0</v>
      </c>
      <c r="G70" s="130"/>
      <c r="H70" s="2">
        <f t="shared" si="5"/>
        <v>0</v>
      </c>
      <c r="I70" s="4" t="e">
        <f>+H70/D70</f>
        <v>#DIV/0!</v>
      </c>
    </row>
    <row r="71" spans="2:9" ht="15">
      <c r="B71" t="s">
        <v>61</v>
      </c>
      <c r="D71" s="130">
        <v>17145048</v>
      </c>
      <c r="F71" s="130">
        <v>23917884</v>
      </c>
      <c r="G71" s="130"/>
      <c r="H71" s="2">
        <f t="shared" si="5"/>
        <v>6772836</v>
      </c>
      <c r="I71" s="4">
        <f>+H71/D71</f>
        <v>0.39503161495960815</v>
      </c>
    </row>
    <row r="72" spans="2:9" ht="15">
      <c r="B72" t="s">
        <v>62</v>
      </c>
      <c r="D72" s="130">
        <v>3285275</v>
      </c>
      <c r="F72" s="130">
        <f>3285275+79077375</f>
        <v>82362650</v>
      </c>
      <c r="G72" s="130"/>
      <c r="H72" s="2">
        <f t="shared" si="5"/>
        <v>79077375</v>
      </c>
      <c r="I72" s="4">
        <f>+H72/D72</f>
        <v>24.070245261051205</v>
      </c>
    </row>
    <row r="73" spans="6:8" ht="15">
      <c r="F73" s="130"/>
      <c r="G73" s="130"/>
      <c r="H73" s="2">
        <f t="shared" si="5"/>
        <v>0</v>
      </c>
    </row>
    <row r="74" spans="2:11" ht="15">
      <c r="B74" s="9" t="s">
        <v>63</v>
      </c>
      <c r="C74" s="9"/>
      <c r="D74" s="10">
        <f>SUM(D66:D72)</f>
        <v>1667844343.81</v>
      </c>
      <c r="E74" s="10">
        <f>SUM(E66:E72)</f>
        <v>0</v>
      </c>
      <c r="F74" s="10">
        <f>SUM(F66:F72)</f>
        <v>1548802153.25</v>
      </c>
      <c r="G74" s="10"/>
      <c r="H74" s="2">
        <f t="shared" si="5"/>
        <v>-119042190.55999994</v>
      </c>
      <c r="K74" s="13">
        <f>+H74-H47</f>
        <v>146721626.7700001</v>
      </c>
    </row>
    <row r="75" ht="15">
      <c r="H75" s="2">
        <f t="shared" si="5"/>
        <v>0</v>
      </c>
    </row>
    <row r="76" spans="2:8" ht="15">
      <c r="B76" t="s">
        <v>64</v>
      </c>
      <c r="D76" s="183">
        <v>0</v>
      </c>
      <c r="H76" s="2">
        <f t="shared" si="5"/>
        <v>0</v>
      </c>
    </row>
    <row r="77" spans="2:9" ht="15">
      <c r="B77" t="s">
        <v>65</v>
      </c>
      <c r="D77" s="130">
        <v>352287249.32</v>
      </c>
      <c r="F77" s="130">
        <v>381290478.32</v>
      </c>
      <c r="G77" s="130"/>
      <c r="H77" s="2">
        <f t="shared" si="5"/>
        <v>29003229</v>
      </c>
      <c r="I77" s="4">
        <f>+H77/D77</f>
        <v>0.08232835294488597</v>
      </c>
    </row>
    <row r="78" spans="2:9" ht="15">
      <c r="B78" t="s">
        <v>66</v>
      </c>
      <c r="D78" s="130">
        <v>0</v>
      </c>
      <c r="H78" s="2">
        <f t="shared" si="5"/>
        <v>0</v>
      </c>
      <c r="I78" s="4" t="e">
        <f aca="true" t="shared" si="6" ref="I78:I87">+H78/D78</f>
        <v>#DIV/0!</v>
      </c>
    </row>
    <row r="79" spans="2:9" ht="15">
      <c r="B79" t="s">
        <v>67</v>
      </c>
      <c r="D79" s="130">
        <v>151864711</v>
      </c>
      <c r="F79" s="130">
        <v>151864711</v>
      </c>
      <c r="G79" s="130"/>
      <c r="H79" s="2">
        <f t="shared" si="5"/>
        <v>0</v>
      </c>
      <c r="I79" s="4">
        <f t="shared" si="6"/>
        <v>0</v>
      </c>
    </row>
    <row r="80" spans="2:9" ht="15">
      <c r="B80" t="s">
        <v>68</v>
      </c>
      <c r="D80" s="130">
        <v>378056300.12</v>
      </c>
      <c r="F80" s="130">
        <v>378056300.12</v>
      </c>
      <c r="G80" s="130"/>
      <c r="H80" s="2">
        <f t="shared" si="5"/>
        <v>0</v>
      </c>
      <c r="I80" s="4">
        <f t="shared" si="6"/>
        <v>0</v>
      </c>
    </row>
    <row r="81" spans="2:9" ht="15">
      <c r="B81" t="s">
        <v>69</v>
      </c>
      <c r="D81" s="130">
        <v>88573421.98</v>
      </c>
      <c r="F81" s="130">
        <v>88573421.98</v>
      </c>
      <c r="G81" s="130"/>
      <c r="H81" s="2">
        <f t="shared" si="5"/>
        <v>0</v>
      </c>
      <c r="I81" s="4">
        <f t="shared" si="6"/>
        <v>0</v>
      </c>
    </row>
    <row r="82" spans="2:9" ht="15">
      <c r="B82" t="s">
        <v>70</v>
      </c>
      <c r="D82" s="130">
        <v>10562811</v>
      </c>
      <c r="F82" s="130">
        <v>10562811</v>
      </c>
      <c r="G82" s="130"/>
      <c r="H82" s="2">
        <f t="shared" si="5"/>
        <v>0</v>
      </c>
      <c r="I82" s="4">
        <f t="shared" si="6"/>
        <v>0</v>
      </c>
    </row>
    <row r="83" spans="2:11" ht="15">
      <c r="B83" t="s">
        <v>71</v>
      </c>
      <c r="D83" s="130">
        <v>127455053.27</v>
      </c>
      <c r="F83" s="11">
        <v>127455053.27</v>
      </c>
      <c r="G83" s="130"/>
      <c r="H83" s="2">
        <f t="shared" si="5"/>
        <v>0</v>
      </c>
      <c r="I83" s="4">
        <f t="shared" si="6"/>
        <v>0</v>
      </c>
      <c r="K83" s="5"/>
    </row>
    <row r="84" spans="2:9" ht="15">
      <c r="B84" t="s">
        <v>72</v>
      </c>
      <c r="D84" s="130">
        <v>4285400</v>
      </c>
      <c r="F84" s="130">
        <v>4285400</v>
      </c>
      <c r="G84" s="130"/>
      <c r="H84" s="2">
        <f t="shared" si="5"/>
        <v>0</v>
      </c>
      <c r="I84" s="4">
        <f t="shared" si="6"/>
        <v>0</v>
      </c>
    </row>
    <row r="85" spans="2:9" ht="15">
      <c r="B85" t="s">
        <v>39</v>
      </c>
      <c r="D85" s="130">
        <v>448478286.02</v>
      </c>
      <c r="F85" s="130">
        <f>448478286.02</f>
        <v>448478286.02</v>
      </c>
      <c r="G85" s="130"/>
      <c r="H85" s="2">
        <f t="shared" si="5"/>
        <v>0</v>
      </c>
      <c r="I85" s="4">
        <f t="shared" si="6"/>
        <v>0</v>
      </c>
    </row>
    <row r="86" spans="2:9" ht="15">
      <c r="B86" t="s">
        <v>73</v>
      </c>
      <c r="D86" s="130">
        <v>-247865371.34</v>
      </c>
      <c r="F86" s="130">
        <v>-178769834.25</v>
      </c>
      <c r="G86" s="130"/>
      <c r="H86" s="2">
        <f t="shared" si="5"/>
        <v>69095537.09</v>
      </c>
      <c r="I86" s="4">
        <f t="shared" si="6"/>
        <v>-0.27876236489372613</v>
      </c>
    </row>
    <row r="87" spans="2:9" ht="15">
      <c r="B87" t="s">
        <v>74</v>
      </c>
      <c r="D87" s="183">
        <v>69095537.09</v>
      </c>
      <c r="F87" s="12">
        <v>-454726097.52</v>
      </c>
      <c r="G87" s="12"/>
      <c r="H87" s="2">
        <f t="shared" si="5"/>
        <v>-523821634.61</v>
      </c>
      <c r="I87" s="4">
        <f t="shared" si="6"/>
        <v>-7.581121106674359</v>
      </c>
    </row>
    <row r="88" ht="15">
      <c r="H88" s="2">
        <f t="shared" si="5"/>
        <v>0</v>
      </c>
    </row>
    <row r="89" spans="2:8" ht="15">
      <c r="B89" t="s">
        <v>75</v>
      </c>
      <c r="D89" s="10">
        <f>SUM(D77:D88)</f>
        <v>1382793398.46</v>
      </c>
      <c r="E89" s="10"/>
      <c r="F89" s="10">
        <f>SUM(F77:F88)</f>
        <v>957070529.94</v>
      </c>
      <c r="G89" s="10"/>
      <c r="H89" s="2">
        <f t="shared" si="5"/>
        <v>-425722868.52</v>
      </c>
    </row>
    <row r="90" ht="15">
      <c r="H90" s="2">
        <f t="shared" si="5"/>
        <v>0</v>
      </c>
    </row>
    <row r="91" spans="2:9" ht="15">
      <c r="B91" t="s">
        <v>76</v>
      </c>
      <c r="D91" s="10">
        <f>+D74+D89</f>
        <v>3050637742.27</v>
      </c>
      <c r="E91" s="10"/>
      <c r="F91" s="10">
        <f>+F74+F89</f>
        <v>2505872683.19</v>
      </c>
      <c r="G91" s="10"/>
      <c r="H91" s="2">
        <f t="shared" si="5"/>
        <v>-544765059.0799999</v>
      </c>
      <c r="I91" s="13"/>
    </row>
    <row r="93" ht="15">
      <c r="F93" s="12">
        <f>+F91-F48</f>
        <v>0</v>
      </c>
    </row>
    <row r="96" ht="15">
      <c r="F96" s="14"/>
    </row>
    <row r="97" ht="15">
      <c r="F97" s="14"/>
    </row>
    <row r="98" ht="15">
      <c r="F98" s="14"/>
    </row>
  </sheetData>
  <sheetProtection/>
  <mergeCells count="1">
    <mergeCell ref="K54:K5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5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O49"/>
  <sheetViews>
    <sheetView zoomScale="80" zoomScaleNormal="80" zoomScaleSheetLayoutView="80" zoomScalePageLayoutView="0" workbookViewId="0" topLeftCell="A4">
      <selection activeCell="H41" sqref="H41"/>
    </sheetView>
  </sheetViews>
  <sheetFormatPr defaultColWidth="11.421875" defaultRowHeight="15"/>
  <cols>
    <col min="1" max="1" width="4.00390625" style="0" customWidth="1"/>
    <col min="2" max="2" width="59.28125" style="0" customWidth="1"/>
    <col min="3" max="3" width="7.421875" style="19" customWidth="1"/>
    <col min="4" max="4" width="25.421875" style="19" bestFit="1" customWidth="1"/>
    <col min="5" max="5" width="1.7109375" style="19" customWidth="1"/>
    <col min="6" max="6" width="25.421875" style="0" bestFit="1" customWidth="1"/>
    <col min="7" max="7" width="2.421875" style="0" customWidth="1"/>
    <col min="8" max="8" width="25.421875" style="0" bestFit="1" customWidth="1"/>
    <col min="9" max="9" width="1.8515625" style="0" customWidth="1"/>
    <col min="10" max="10" width="13.7109375" style="0" bestFit="1" customWidth="1"/>
    <col min="11" max="11" width="19.28125" style="0" bestFit="1" customWidth="1"/>
    <col min="12" max="12" width="2.00390625" style="0" bestFit="1" customWidth="1"/>
    <col min="14" max="14" width="17.57421875" style="0" bestFit="1" customWidth="1"/>
    <col min="15" max="15" width="11.421875" style="348" customWidth="1"/>
  </cols>
  <sheetData>
    <row r="1" spans="1:10" ht="15">
      <c r="A1" s="22"/>
      <c r="B1" s="489" t="s">
        <v>91</v>
      </c>
      <c r="C1" s="489"/>
      <c r="D1" s="489"/>
      <c r="E1" s="489"/>
      <c r="F1" s="489"/>
      <c r="G1" s="489"/>
      <c r="H1" s="489"/>
      <c r="I1" s="489"/>
      <c r="J1" s="494"/>
    </row>
    <row r="2" spans="1:10" ht="15">
      <c r="A2" s="23"/>
      <c r="B2" s="490" t="s">
        <v>568</v>
      </c>
      <c r="C2" s="490"/>
      <c r="D2" s="490"/>
      <c r="E2" s="490"/>
      <c r="F2" s="490"/>
      <c r="G2" s="490"/>
      <c r="H2" s="490"/>
      <c r="I2" s="490"/>
      <c r="J2" s="495"/>
    </row>
    <row r="3" spans="1:10" ht="15">
      <c r="A3" s="23"/>
      <c r="B3" s="490" t="s">
        <v>93</v>
      </c>
      <c r="C3" s="490"/>
      <c r="D3" s="490"/>
      <c r="E3" s="490"/>
      <c r="F3" s="490"/>
      <c r="G3" s="490"/>
      <c r="H3" s="490"/>
      <c r="I3" s="490"/>
      <c r="J3" s="495"/>
    </row>
    <row r="4" spans="1:10" ht="15">
      <c r="A4" s="23"/>
      <c r="B4" s="233"/>
      <c r="C4" s="233"/>
      <c r="D4" s="233"/>
      <c r="E4" s="233"/>
      <c r="F4" s="233"/>
      <c r="G4" s="233"/>
      <c r="H4" s="233"/>
      <c r="I4" s="233"/>
      <c r="J4" s="234"/>
    </row>
    <row r="5" spans="1:10" ht="15">
      <c r="A5" s="23"/>
      <c r="B5" s="233"/>
      <c r="C5" s="233"/>
      <c r="D5" s="233"/>
      <c r="E5" s="233"/>
      <c r="F5" s="233"/>
      <c r="G5" s="233"/>
      <c r="H5" s="233"/>
      <c r="I5" s="233"/>
      <c r="J5" s="234"/>
    </row>
    <row r="6" spans="1:10" ht="15">
      <c r="A6" s="23"/>
      <c r="B6" s="18"/>
      <c r="C6" s="233"/>
      <c r="D6" s="233"/>
      <c r="E6" s="233"/>
      <c r="F6" s="18"/>
      <c r="G6" s="18"/>
      <c r="H6" s="18"/>
      <c r="I6" s="18"/>
      <c r="J6" s="93"/>
    </row>
    <row r="7" spans="1:10" ht="15">
      <c r="A7" s="23"/>
      <c r="B7" s="21" t="s">
        <v>199</v>
      </c>
      <c r="C7" s="233" t="s">
        <v>111</v>
      </c>
      <c r="D7" s="27">
        <v>2016</v>
      </c>
      <c r="E7" s="233"/>
      <c r="F7" s="27">
        <v>2015</v>
      </c>
      <c r="G7" s="18"/>
      <c r="H7" s="20" t="s">
        <v>81</v>
      </c>
      <c r="I7" s="21"/>
      <c r="J7" s="28" t="s">
        <v>82</v>
      </c>
    </row>
    <row r="8" spans="1:10" ht="15">
      <c r="A8" s="23"/>
      <c r="C8" s="233"/>
      <c r="D8" s="18"/>
      <c r="E8" s="233"/>
      <c r="F8" s="18"/>
      <c r="G8" s="18"/>
      <c r="H8" s="18"/>
      <c r="I8" s="18"/>
      <c r="J8" s="93"/>
    </row>
    <row r="9" spans="1:10" ht="15">
      <c r="A9" s="23"/>
      <c r="B9" s="18" t="s">
        <v>232</v>
      </c>
      <c r="C9" s="233"/>
      <c r="D9" s="18"/>
      <c r="E9" s="233"/>
      <c r="F9" s="18"/>
      <c r="G9" s="18"/>
      <c r="H9" s="18"/>
      <c r="I9" s="18"/>
      <c r="J9" s="93"/>
    </row>
    <row r="10" spans="1:12" ht="30">
      <c r="A10" s="23"/>
      <c r="B10" s="124" t="s">
        <v>575</v>
      </c>
      <c r="C10" s="233">
        <v>20</v>
      </c>
      <c r="D10" s="469">
        <f>+'EST RESULTADOS'!D9+'EST RESULTADOS'!D36</f>
        <v>17474322044</v>
      </c>
      <c r="E10" s="469" t="e">
        <f>+'[5]EST RESULTADOS'!E10+'[5]EST RESULTADOS'!E38</f>
        <v>#REF!</v>
      </c>
      <c r="F10" s="469">
        <f>+'EST RESULTADOS'!F9+'EST RESULTADOS'!F36</f>
        <v>18129700761</v>
      </c>
      <c r="G10" s="94"/>
      <c r="H10" s="77">
        <f>+D10-F10</f>
        <v>-655378717</v>
      </c>
      <c r="I10" s="18"/>
      <c r="J10" s="104">
        <f>+H10/F10</f>
        <v>-0.0361494503213108</v>
      </c>
      <c r="K10" s="12"/>
      <c r="L10" s="12"/>
    </row>
    <row r="11" spans="1:12" ht="15">
      <c r="A11" s="23"/>
      <c r="B11" s="18"/>
      <c r="C11" s="233"/>
      <c r="D11" s="470"/>
      <c r="E11" s="470"/>
      <c r="F11" s="470"/>
      <c r="G11" s="18"/>
      <c r="H11" s="18"/>
      <c r="I11" s="18"/>
      <c r="J11" s="93"/>
      <c r="L11" s="12"/>
    </row>
    <row r="12" spans="1:10" ht="15">
      <c r="A12" s="23"/>
      <c r="B12" s="21" t="s">
        <v>234</v>
      </c>
      <c r="C12" s="233">
        <v>21</v>
      </c>
      <c r="D12" s="470"/>
      <c r="E12" s="470"/>
      <c r="F12" s="470"/>
      <c r="G12" s="18"/>
      <c r="H12" s="18"/>
      <c r="I12" s="18"/>
      <c r="J12" s="93"/>
    </row>
    <row r="13" spans="1:10" ht="15">
      <c r="A13" s="23"/>
      <c r="B13" s="18" t="s">
        <v>235</v>
      </c>
      <c r="C13" s="233"/>
      <c r="D13" s="470"/>
      <c r="E13" s="470"/>
      <c r="F13" s="470"/>
      <c r="G13" s="18"/>
      <c r="H13" s="18"/>
      <c r="I13" s="18"/>
      <c r="J13" s="93"/>
    </row>
    <row r="14" spans="1:10" ht="30">
      <c r="A14" s="23"/>
      <c r="B14" s="124" t="str">
        <f>+B10</f>
        <v>VENTA DE INSUMOS, MAT PRI AGROP , FLORES Y PRODUCTOS AGROPECUARIOS</v>
      </c>
      <c r="C14" s="233"/>
      <c r="D14" s="471">
        <f>+'EST RESULTADOS'!D12+'EST RESULTADOS'!D39</f>
        <v>-16698217082.1</v>
      </c>
      <c r="E14" s="471" t="e">
        <f>+'[5]EST RESULTADOS'!E14+'[5]EST RESULTADOS'!E42</f>
        <v>#REF!</v>
      </c>
      <c r="F14" s="471">
        <f>+'EST RESULTADOS'!F12+'EST RESULTADOS'!F39</f>
        <v>-17311043988.690002</v>
      </c>
      <c r="G14" s="77"/>
      <c r="H14" s="76">
        <f>+D14-F14</f>
        <v>612826906.5900021</v>
      </c>
      <c r="I14" s="18"/>
      <c r="J14" s="105">
        <f>+H14/F14</f>
        <v>-0.0354009213419125</v>
      </c>
    </row>
    <row r="15" spans="1:12" ht="15">
      <c r="A15" s="23"/>
      <c r="B15" s="18"/>
      <c r="C15" s="233"/>
      <c r="D15" s="470"/>
      <c r="E15" s="472"/>
      <c r="F15" s="470"/>
      <c r="G15" s="18"/>
      <c r="H15" s="18"/>
      <c r="I15" s="18"/>
      <c r="J15" s="93"/>
      <c r="L15" s="12"/>
    </row>
    <row r="16" spans="1:10" ht="15">
      <c r="A16" s="23"/>
      <c r="B16" s="121" t="s">
        <v>459</v>
      </c>
      <c r="C16" s="233"/>
      <c r="D16" s="473">
        <f>SUM(D10:D15)</f>
        <v>776104961.8999996</v>
      </c>
      <c r="E16" s="472"/>
      <c r="F16" s="473">
        <f>SUM(F10:F15)</f>
        <v>818656772.3099976</v>
      </c>
      <c r="G16" s="35"/>
      <c r="H16" s="35">
        <f>+D16-F16</f>
        <v>-42551810.40999794</v>
      </c>
      <c r="I16" s="21"/>
      <c r="J16" s="31">
        <f>+H16/F16</f>
        <v>-0.05197759531131688</v>
      </c>
    </row>
    <row r="17" spans="1:10" ht="15">
      <c r="A17" s="23"/>
      <c r="B17" s="18"/>
      <c r="C17" s="233"/>
      <c r="D17" s="470"/>
      <c r="E17" s="472"/>
      <c r="F17" s="470"/>
      <c r="G17" s="18"/>
      <c r="H17" s="18"/>
      <c r="I17" s="18"/>
      <c r="J17" s="93"/>
    </row>
    <row r="18" spans="1:10" ht="15">
      <c r="A18" s="23"/>
      <c r="B18" s="18" t="s">
        <v>237</v>
      </c>
      <c r="C18" s="465">
        <v>22</v>
      </c>
      <c r="D18" s="470">
        <f>+'EST RESULTADOS'!D50+'EST RESULTADOS'!D23</f>
        <v>457924952.98</v>
      </c>
      <c r="E18" s="470">
        <f>+'EST RESULTADOS'!E50+'EST RESULTADOS'!E23</f>
        <v>0</v>
      </c>
      <c r="F18" s="470">
        <f>+'EST RESULTADOS'!F50+'EST RESULTADOS'!F23</f>
        <v>424967198.58000004</v>
      </c>
      <c r="G18" s="77"/>
      <c r="H18" s="77">
        <f>+D18-F18</f>
        <v>32957754.399999976</v>
      </c>
      <c r="I18" s="18"/>
      <c r="J18" s="104">
        <f>+H18/F18</f>
        <v>0.07755364298733207</v>
      </c>
    </row>
    <row r="19" spans="1:10" ht="15">
      <c r="A19" s="23"/>
      <c r="B19" s="18"/>
      <c r="C19" s="465"/>
      <c r="D19" s="470"/>
      <c r="E19" s="472"/>
      <c r="F19" s="470"/>
      <c r="G19" s="18"/>
      <c r="H19" s="18"/>
      <c r="I19" s="18"/>
      <c r="J19" s="93"/>
    </row>
    <row r="20" spans="1:10" ht="15">
      <c r="A20" s="23"/>
      <c r="B20" s="121" t="s">
        <v>576</v>
      </c>
      <c r="C20" s="465"/>
      <c r="D20" s="473">
        <f>+D16-D18</f>
        <v>318180008.9199996</v>
      </c>
      <c r="E20" s="473">
        <f>+E16-E18</f>
        <v>0</v>
      </c>
      <c r="F20" s="473">
        <f>+F16-F18</f>
        <v>393689573.7299975</v>
      </c>
      <c r="G20" s="467">
        <f>+G16-G18</f>
        <v>0</v>
      </c>
      <c r="H20" s="467">
        <f>+H16-H18</f>
        <v>-75509564.80999792</v>
      </c>
      <c r="I20" s="18"/>
      <c r="J20" s="31">
        <f>+H20/F20</f>
        <v>-0.19179975759730006</v>
      </c>
    </row>
    <row r="21" spans="1:10" ht="15">
      <c r="A21" s="23"/>
      <c r="B21" s="18"/>
      <c r="C21" s="465"/>
      <c r="D21" s="470"/>
      <c r="E21" s="472"/>
      <c r="F21" s="470"/>
      <c r="G21" s="18"/>
      <c r="H21" s="18"/>
      <c r="I21" s="18"/>
      <c r="J21" s="93"/>
    </row>
    <row r="22" spans="1:15" s="443" customFormat="1" ht="15">
      <c r="A22" s="149"/>
      <c r="B22" s="33" t="s">
        <v>460</v>
      </c>
      <c r="C22" s="468">
        <v>20</v>
      </c>
      <c r="D22" s="469">
        <f>+'EST RESULTADOS'!D84+'EST RESULTADOS'!D27+'EST RESULTADOS'!D54</f>
        <v>900907785</v>
      </c>
      <c r="E22" s="469">
        <f>+'EST RESULTADOS'!E84+'EST RESULTADOS'!E27+'EST RESULTADOS'!E54</f>
        <v>0</v>
      </c>
      <c r="F22" s="469">
        <f>+'EST RESULTADOS'!F84+'EST RESULTADOS'!F27+'EST RESULTADOS'!F54</f>
        <v>140695327</v>
      </c>
      <c r="G22" s="33"/>
      <c r="H22" s="94">
        <f>+D22-F22</f>
        <v>760212458</v>
      </c>
      <c r="I22" s="33"/>
      <c r="J22" s="104">
        <f>+H22/F22</f>
        <v>5.403253073216852</v>
      </c>
      <c r="O22" s="348"/>
    </row>
    <row r="23" spans="1:10" ht="15">
      <c r="A23" s="23"/>
      <c r="B23" s="18"/>
      <c r="C23" s="233"/>
      <c r="D23" s="470"/>
      <c r="E23" s="472"/>
      <c r="F23" s="470"/>
      <c r="G23" s="77"/>
      <c r="H23" s="77"/>
      <c r="I23" s="18"/>
      <c r="J23" s="104"/>
    </row>
    <row r="24" spans="1:10" ht="15">
      <c r="A24" s="23"/>
      <c r="B24" s="136" t="str">
        <f>+'EST RESULTADOS'!B86</f>
        <v>OTROS COSTOS OPERACIONALES</v>
      </c>
      <c r="C24" s="233">
        <v>21</v>
      </c>
      <c r="D24" s="470">
        <f>+'EST RESULTADOS'!D90</f>
        <v>-808779979</v>
      </c>
      <c r="E24" s="470">
        <f>+'EST RESULTADOS'!E90</f>
        <v>0</v>
      </c>
      <c r="F24" s="470">
        <f>+'EST RESULTADOS'!F90</f>
        <v>-76949492</v>
      </c>
      <c r="G24" s="77"/>
      <c r="H24" s="77">
        <f>+D24-F24</f>
        <v>-731830487</v>
      </c>
      <c r="I24" s="18"/>
      <c r="J24" s="104">
        <f>+H24/F24</f>
        <v>9.510530452884602</v>
      </c>
    </row>
    <row r="25" spans="1:10" ht="15">
      <c r="A25" s="23"/>
      <c r="B25" s="18"/>
      <c r="C25" s="233"/>
      <c r="D25" s="470"/>
      <c r="E25" s="470"/>
      <c r="F25" s="470"/>
      <c r="G25" s="77"/>
      <c r="H25" s="77"/>
      <c r="I25" s="18"/>
      <c r="J25" s="104"/>
    </row>
    <row r="26" spans="1:10" ht="15">
      <c r="A26" s="23"/>
      <c r="B26" s="121" t="s">
        <v>577</v>
      </c>
      <c r="D26" s="474">
        <f>+D22+D24</f>
        <v>92127806</v>
      </c>
      <c r="E26" s="474">
        <f>+E22+E24</f>
        <v>0</v>
      </c>
      <c r="F26" s="474">
        <f>+F22+F24</f>
        <v>63745835</v>
      </c>
      <c r="H26" s="35">
        <f>+D26-F26</f>
        <v>28381971</v>
      </c>
      <c r="I26" s="21"/>
      <c r="J26" s="31">
        <f>+H26/F26</f>
        <v>0.4452364770184593</v>
      </c>
    </row>
    <row r="27" spans="1:10" ht="15">
      <c r="A27" s="23"/>
      <c r="B27" s="127"/>
      <c r="D27" s="474"/>
      <c r="E27" s="474"/>
      <c r="F27" s="474"/>
      <c r="H27" s="35"/>
      <c r="I27" s="21"/>
      <c r="J27" s="31"/>
    </row>
    <row r="28" spans="1:10" ht="15">
      <c r="A28" s="23"/>
      <c r="B28" s="127" t="s">
        <v>578</v>
      </c>
      <c r="C28" s="19">
        <v>20</v>
      </c>
      <c r="D28" s="475">
        <f>+'EST RESULTADOS'!D68</f>
        <v>239530674.16</v>
      </c>
      <c r="E28" s="475">
        <f>+'EST RESULTADOS'!E68</f>
        <v>0</v>
      </c>
      <c r="F28" s="475">
        <f>+'EST RESULTADOS'!F68</f>
        <v>63004492</v>
      </c>
      <c r="H28" s="77">
        <f>+D28-F28</f>
        <v>176526182.16</v>
      </c>
      <c r="I28" s="18"/>
      <c r="J28" s="104">
        <f>+H28/F28</f>
        <v>2.8018031184189214</v>
      </c>
    </row>
    <row r="29" spans="1:10" ht="15">
      <c r="A29" s="23"/>
      <c r="B29" s="127"/>
      <c r="D29" s="475"/>
      <c r="E29" s="475"/>
      <c r="F29" s="475"/>
      <c r="H29" s="35"/>
      <c r="I29" s="21"/>
      <c r="J29" s="31"/>
    </row>
    <row r="30" spans="1:10" ht="15">
      <c r="A30" s="23"/>
      <c r="B30" s="127" t="s">
        <v>579</v>
      </c>
      <c r="C30" s="19">
        <v>23</v>
      </c>
      <c r="D30" s="475">
        <f>+'EST RESULTADOS'!D76</f>
        <v>596507044.81</v>
      </c>
      <c r="E30" s="475">
        <f>+'EST RESULTADOS'!E76</f>
        <v>0</v>
      </c>
      <c r="F30" s="475">
        <f>+'EST RESULTADOS'!F76</f>
        <v>443990999.94</v>
      </c>
      <c r="H30" s="77">
        <f>+D30-F30</f>
        <v>152516044.86999995</v>
      </c>
      <c r="I30" s="18"/>
      <c r="J30" s="104">
        <f>+H30/F30</f>
        <v>0.3435115686818216</v>
      </c>
    </row>
    <row r="31" spans="1:10" ht="15">
      <c r="A31" s="23"/>
      <c r="B31" s="121"/>
      <c r="D31" s="474"/>
      <c r="E31" s="474"/>
      <c r="F31" s="474"/>
      <c r="H31" s="35"/>
      <c r="I31" s="21"/>
      <c r="J31" s="31"/>
    </row>
    <row r="32" spans="1:10" ht="15">
      <c r="A32" s="23"/>
      <c r="B32" s="254" t="s">
        <v>571</v>
      </c>
      <c r="C32" s="233"/>
      <c r="D32" s="473">
        <f>+D28-D30</f>
        <v>-356976370.65</v>
      </c>
      <c r="E32" s="473">
        <f>+E16+E22-E25-E24</f>
        <v>0</v>
      </c>
      <c r="F32" s="473">
        <f>+F28-F30</f>
        <v>-380986507.94</v>
      </c>
      <c r="G32" s="21"/>
      <c r="H32" s="35">
        <f>+D32-F32</f>
        <v>24010137.29000002</v>
      </c>
      <c r="I32" s="21"/>
      <c r="J32" s="31">
        <f>+H32/F32</f>
        <v>-0.0630209647575795</v>
      </c>
    </row>
    <row r="33" spans="1:10" ht="15">
      <c r="A33" s="23"/>
      <c r="B33" s="21"/>
      <c r="C33" s="233"/>
      <c r="D33" s="473"/>
      <c r="E33" s="472"/>
      <c r="F33" s="473"/>
      <c r="G33" s="35"/>
      <c r="H33" s="35"/>
      <c r="I33" s="21"/>
      <c r="J33" s="31"/>
    </row>
    <row r="34" spans="1:10" ht="15" hidden="1">
      <c r="A34" s="23"/>
      <c r="B34" s="33"/>
      <c r="C34" s="233"/>
      <c r="D34" s="469"/>
      <c r="E34" s="469"/>
      <c r="F34" s="469"/>
      <c r="G34" s="35"/>
      <c r="H34" s="77"/>
      <c r="I34" s="18"/>
      <c r="J34" s="104"/>
    </row>
    <row r="35" spans="1:10" ht="15" hidden="1">
      <c r="A35" s="23"/>
      <c r="B35" s="21"/>
      <c r="C35" s="233"/>
      <c r="D35" s="473"/>
      <c r="E35" s="472"/>
      <c r="F35" s="473"/>
      <c r="G35" s="35"/>
      <c r="H35" s="35"/>
      <c r="I35" s="21"/>
      <c r="J35" s="31"/>
    </row>
    <row r="36" spans="1:10" ht="15">
      <c r="A36" s="23"/>
      <c r="B36" s="33" t="s">
        <v>319</v>
      </c>
      <c r="C36" s="233">
        <v>24</v>
      </c>
      <c r="D36" s="470">
        <f>+'EST RESULTADOS'!D28+'EST RESULTADOS'!D55+'EST RESULTADOS'!D97</f>
        <v>17487881</v>
      </c>
      <c r="E36" s="470">
        <f>+'EST RESULTADOS'!E28+'EST RESULTADOS'!E55+'EST RESULTADOS'!E97</f>
        <v>0</v>
      </c>
      <c r="F36" s="470">
        <f>+'EST RESULTADOS'!F28+'EST RESULTADOS'!F55+'EST RESULTADOS'!F97</f>
        <v>28883164</v>
      </c>
      <c r="G36" s="18"/>
      <c r="H36" s="77">
        <f>+D36-F36</f>
        <v>-11395283</v>
      </c>
      <c r="I36" s="18"/>
      <c r="J36" s="104">
        <f>+H36/F36</f>
        <v>-0.39453028760976466</v>
      </c>
    </row>
    <row r="37" spans="1:10" ht="15">
      <c r="A37" s="23"/>
      <c r="B37" s="21"/>
      <c r="C37" s="233"/>
      <c r="D37" s="470"/>
      <c r="E37" s="472"/>
      <c r="F37" s="470"/>
      <c r="G37" s="77"/>
      <c r="H37" s="35"/>
      <c r="I37" s="21"/>
      <c r="J37" s="31"/>
    </row>
    <row r="38" spans="1:10" ht="15">
      <c r="A38" s="23"/>
      <c r="B38" s="21" t="s">
        <v>461</v>
      </c>
      <c r="C38" s="233"/>
      <c r="D38" s="473">
        <f>+D20+D26+D32+D34-D36</f>
        <v>35843563.26999962</v>
      </c>
      <c r="E38" s="473">
        <f>+E20+E26+E32+E34-E36</f>
        <v>0</v>
      </c>
      <c r="F38" s="473">
        <f>+F20+F26+F32+F34-F36</f>
        <v>47565736.78999752</v>
      </c>
      <c r="G38" s="35"/>
      <c r="H38" s="35">
        <f>+D38-F38</f>
        <v>-11722173.519997895</v>
      </c>
      <c r="I38" s="21"/>
      <c r="J38" s="31">
        <f>+H38/F38</f>
        <v>-0.24644154198117924</v>
      </c>
    </row>
    <row r="39" spans="1:10" ht="15">
      <c r="A39" s="23"/>
      <c r="B39" s="18"/>
      <c r="C39" s="233"/>
      <c r="D39" s="18"/>
      <c r="E39" s="18"/>
      <c r="F39" s="18"/>
      <c r="G39" s="18"/>
      <c r="H39" s="77"/>
      <c r="I39" s="18"/>
      <c r="J39" s="104"/>
    </row>
    <row r="40" spans="1:10" ht="15">
      <c r="A40" s="23"/>
      <c r="B40" s="21"/>
      <c r="C40" s="233"/>
      <c r="D40" s="35"/>
      <c r="E40" s="35"/>
      <c r="F40" s="35"/>
      <c r="G40" s="35"/>
      <c r="H40" s="35"/>
      <c r="I40" s="21"/>
      <c r="J40" s="31"/>
    </row>
    <row r="41" spans="1:10" ht="31.5" customHeight="1">
      <c r="A41" s="23"/>
      <c r="B41" s="121"/>
      <c r="C41" s="233"/>
      <c r="D41" s="35"/>
      <c r="E41" s="233"/>
      <c r="F41" s="35"/>
      <c r="G41" s="35"/>
      <c r="H41" s="35"/>
      <c r="I41" s="21"/>
      <c r="J41" s="31"/>
    </row>
    <row r="42" spans="1:10" ht="15">
      <c r="A42" s="23"/>
      <c r="B42" s="18"/>
      <c r="C42" s="233"/>
      <c r="D42" s="233"/>
      <c r="E42" s="233"/>
      <c r="F42" s="18"/>
      <c r="G42" s="18"/>
      <c r="H42" s="18"/>
      <c r="I42" s="18"/>
      <c r="J42" s="93"/>
    </row>
    <row r="43" spans="1:10" ht="15">
      <c r="A43" s="23"/>
      <c r="B43" s="18"/>
      <c r="C43" s="233"/>
      <c r="D43" s="233"/>
      <c r="E43" s="233"/>
      <c r="F43" s="18"/>
      <c r="G43" s="18"/>
      <c r="H43" s="18"/>
      <c r="I43" s="18"/>
      <c r="J43" s="93"/>
    </row>
    <row r="44" spans="1:10" ht="15">
      <c r="A44" s="23"/>
      <c r="B44" s="21"/>
      <c r="C44" s="233"/>
      <c r="D44" s="492"/>
      <c r="E44" s="492"/>
      <c r="F44" s="492"/>
      <c r="G44" s="18"/>
      <c r="H44" s="487"/>
      <c r="I44" s="487"/>
      <c r="J44" s="488"/>
    </row>
    <row r="45" spans="1:10" ht="15">
      <c r="A45" s="23"/>
      <c r="B45" s="21" t="s">
        <v>113</v>
      </c>
      <c r="C45" s="233"/>
      <c r="D45" s="492" t="s">
        <v>115</v>
      </c>
      <c r="E45" s="492"/>
      <c r="F45" s="492"/>
      <c r="G45" s="18"/>
      <c r="H45" s="487" t="s">
        <v>118</v>
      </c>
      <c r="I45" s="487"/>
      <c r="J45" s="488"/>
    </row>
    <row r="46" spans="1:10" ht="15">
      <c r="A46" s="23"/>
      <c r="B46" s="21" t="s">
        <v>114</v>
      </c>
      <c r="C46" s="233"/>
      <c r="D46" s="492" t="s">
        <v>116</v>
      </c>
      <c r="E46" s="492"/>
      <c r="F46" s="492"/>
      <c r="G46" s="18"/>
      <c r="H46" s="487" t="s">
        <v>119</v>
      </c>
      <c r="I46" s="487"/>
      <c r="J46" s="488"/>
    </row>
    <row r="47" spans="1:10" ht="15">
      <c r="A47" s="23"/>
      <c r="B47" s="18"/>
      <c r="C47" s="233"/>
      <c r="D47" s="21" t="s">
        <v>117</v>
      </c>
      <c r="E47" s="18"/>
      <c r="F47" s="144"/>
      <c r="G47" s="18"/>
      <c r="H47" s="21" t="s">
        <v>120</v>
      </c>
      <c r="I47" s="232"/>
      <c r="J47" s="37"/>
    </row>
    <row r="48" spans="1:10" ht="15">
      <c r="A48" s="23"/>
      <c r="B48" s="18"/>
      <c r="C48" s="233"/>
      <c r="D48" s="18"/>
      <c r="E48" s="18"/>
      <c r="F48" s="144"/>
      <c r="G48" s="18"/>
      <c r="H48" s="20" t="s">
        <v>121</v>
      </c>
      <c r="I48" s="18"/>
      <c r="J48" s="26"/>
    </row>
    <row r="49" spans="1:10" ht="15.75" thickBot="1">
      <c r="A49" s="38"/>
      <c r="B49" s="39"/>
      <c r="C49" s="40"/>
      <c r="D49" s="40"/>
      <c r="E49" s="40"/>
      <c r="F49" s="39"/>
      <c r="G49" s="39"/>
      <c r="H49" s="39"/>
      <c r="I49" s="39"/>
      <c r="J49" s="95"/>
    </row>
  </sheetData>
  <sheetProtection/>
  <mergeCells count="9">
    <mergeCell ref="D46:F46"/>
    <mergeCell ref="H46:J46"/>
    <mergeCell ref="B1:J1"/>
    <mergeCell ref="B2:J2"/>
    <mergeCell ref="B3:J3"/>
    <mergeCell ref="D44:F44"/>
    <mergeCell ref="H44:J44"/>
    <mergeCell ref="D45:F45"/>
    <mergeCell ref="H45:J4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51"/>
  <sheetViews>
    <sheetView tabSelected="1" zoomScalePageLayoutView="0" workbookViewId="0" topLeftCell="A25">
      <selection activeCell="D48" sqref="D48"/>
    </sheetView>
  </sheetViews>
  <sheetFormatPr defaultColWidth="11.421875" defaultRowHeight="15"/>
  <cols>
    <col min="1" max="1" width="3.140625" style="0" customWidth="1"/>
    <col min="2" max="2" width="44.00390625" style="0" bestFit="1" customWidth="1"/>
    <col min="3" max="3" width="3.421875" style="0" customWidth="1"/>
    <col min="4" max="4" width="18.28125" style="263" bestFit="1" customWidth="1"/>
    <col min="5" max="5" width="3.421875" style="0" customWidth="1"/>
    <col min="6" max="6" width="18.28125" style="0" bestFit="1" customWidth="1"/>
    <col min="7" max="7" width="3.421875" style="0" customWidth="1"/>
    <col min="8" max="8" width="25.421875" style="0" bestFit="1" customWidth="1"/>
    <col min="9" max="9" width="3.421875" style="0" customWidth="1"/>
  </cols>
  <sheetData>
    <row r="1" spans="1:10" ht="15">
      <c r="A1" s="22"/>
      <c r="B1" s="489" t="s">
        <v>91</v>
      </c>
      <c r="C1" s="489"/>
      <c r="D1" s="489"/>
      <c r="E1" s="489"/>
      <c r="F1" s="489"/>
      <c r="G1" s="489"/>
      <c r="H1" s="489"/>
      <c r="I1" s="489"/>
      <c r="J1" s="494"/>
    </row>
    <row r="2" spans="1:10" ht="15">
      <c r="A2" s="23"/>
      <c r="B2" s="490" t="s">
        <v>364</v>
      </c>
      <c r="C2" s="490"/>
      <c r="D2" s="490"/>
      <c r="E2" s="490"/>
      <c r="F2" s="490"/>
      <c r="G2" s="490"/>
      <c r="H2" s="490"/>
      <c r="I2" s="490"/>
      <c r="J2" s="495"/>
    </row>
    <row r="3" spans="1:10" ht="15">
      <c r="A3" s="23"/>
      <c r="B3" s="490" t="s">
        <v>93</v>
      </c>
      <c r="C3" s="490"/>
      <c r="D3" s="490"/>
      <c r="E3" s="490"/>
      <c r="F3" s="490"/>
      <c r="G3" s="490"/>
      <c r="H3" s="490"/>
      <c r="I3" s="490"/>
      <c r="J3" s="495"/>
    </row>
    <row r="4" spans="1:10" ht="15">
      <c r="A4" s="23"/>
      <c r="B4" s="233"/>
      <c r="C4" s="233"/>
      <c r="D4" s="447"/>
      <c r="E4" s="233"/>
      <c r="F4" s="98"/>
      <c r="G4" s="18"/>
      <c r="H4" s="18"/>
      <c r="I4" s="18"/>
      <c r="J4" s="93"/>
    </row>
    <row r="5" spans="1:10" ht="15">
      <c r="A5" s="23"/>
      <c r="B5" s="233"/>
      <c r="C5" s="233"/>
      <c r="D5" s="162">
        <v>2016</v>
      </c>
      <c r="E5" s="233"/>
      <c r="F5" s="27">
        <v>2015</v>
      </c>
      <c r="G5" s="101"/>
      <c r="H5" s="20" t="s">
        <v>81</v>
      </c>
      <c r="I5" s="21"/>
      <c r="J5" s="28" t="s">
        <v>82</v>
      </c>
    </row>
    <row r="6" spans="1:10" ht="15">
      <c r="A6" s="23"/>
      <c r="B6" s="21" t="s">
        <v>440</v>
      </c>
      <c r="C6" s="18"/>
      <c r="D6" s="136"/>
      <c r="E6" s="18"/>
      <c r="F6" s="18"/>
      <c r="G6" s="18"/>
      <c r="H6" s="18"/>
      <c r="I6" s="18"/>
      <c r="J6" s="93"/>
    </row>
    <row r="7" spans="1:10" ht="15">
      <c r="A7" s="23"/>
      <c r="B7" s="18"/>
      <c r="C7" s="18"/>
      <c r="D7" s="136"/>
      <c r="E7" s="18"/>
      <c r="F7" s="18"/>
      <c r="G7" s="18"/>
      <c r="H7" s="18"/>
      <c r="I7" s="18"/>
      <c r="J7" s="93"/>
    </row>
    <row r="8" spans="1:10" ht="15">
      <c r="A8" s="23"/>
      <c r="B8" s="21" t="s">
        <v>349</v>
      </c>
      <c r="C8" s="18"/>
      <c r="D8" s="355"/>
      <c r="E8" s="18"/>
      <c r="F8" s="144"/>
      <c r="G8" s="144"/>
      <c r="H8" s="18"/>
      <c r="I8" s="18"/>
      <c r="J8" s="93"/>
    </row>
    <row r="9" spans="1:10" ht="15">
      <c r="A9" s="23"/>
      <c r="B9" s="18"/>
      <c r="C9" s="18"/>
      <c r="D9" s="355"/>
      <c r="E9" s="18"/>
      <c r="F9" s="144"/>
      <c r="G9" s="144"/>
      <c r="H9" s="18"/>
      <c r="I9" s="18"/>
      <c r="J9" s="93"/>
    </row>
    <row r="10" spans="1:10" ht="15">
      <c r="A10" s="23"/>
      <c r="B10" s="21" t="s">
        <v>322</v>
      </c>
      <c r="C10" s="18"/>
      <c r="D10" s="448">
        <f>+'EST RESULTADOS'!D101</f>
        <v>35843563.26999962</v>
      </c>
      <c r="E10" s="18"/>
      <c r="F10" s="20">
        <f>+'EST RESULTADOS (2)'!F38</f>
        <v>47565736.78999752</v>
      </c>
      <c r="G10" s="20"/>
      <c r="H10" s="35">
        <f>+D10-F10</f>
        <v>-11722173.519997895</v>
      </c>
      <c r="I10" s="21"/>
      <c r="J10" s="31">
        <f>+H10/F10</f>
        <v>-0.24644154198117924</v>
      </c>
    </row>
    <row r="11" spans="1:10" ht="15">
      <c r="A11" s="23"/>
      <c r="B11" s="21" t="s">
        <v>441</v>
      </c>
      <c r="C11" s="18"/>
      <c r="D11" s="355"/>
      <c r="E11" s="18"/>
      <c r="F11" s="144"/>
      <c r="G11" s="144"/>
      <c r="H11" s="18"/>
      <c r="I11" s="18"/>
      <c r="J11" s="93"/>
    </row>
    <row r="12" spans="1:10" ht="15">
      <c r="A12" s="23"/>
      <c r="B12" s="33" t="s">
        <v>167</v>
      </c>
      <c r="C12" s="18"/>
      <c r="D12" s="355">
        <f>-'BALANCES 2016-2015'!L37</f>
        <v>21307961.391721994</v>
      </c>
      <c r="E12" s="144"/>
      <c r="F12" s="144">
        <f>-'BALANCES 2016-2015'!F37</f>
        <v>24023662.508278012</v>
      </c>
      <c r="G12" s="144"/>
      <c r="H12" s="94">
        <f>+D12-F12</f>
        <v>-2715701.1165560186</v>
      </c>
      <c r="I12" s="33"/>
      <c r="J12" s="104">
        <f>+H12/F12</f>
        <v>-0.11304276005460238</v>
      </c>
    </row>
    <row r="13" spans="1:10" ht="15">
      <c r="A13" s="23"/>
      <c r="B13" s="33" t="s">
        <v>173</v>
      </c>
      <c r="C13" s="18"/>
      <c r="D13" s="355">
        <f>-'BALANCES 2016-2015'!S23</f>
        <v>-35070198.229999974</v>
      </c>
      <c r="E13" s="18"/>
      <c r="F13" s="144">
        <v>22964254.15</v>
      </c>
      <c r="G13" s="144"/>
      <c r="H13" s="94">
        <f>+D13-F13</f>
        <v>-58034452.37999997</v>
      </c>
      <c r="I13" s="33"/>
      <c r="J13" s="104">
        <f>+H13/F13</f>
        <v>-2.5271646969644768</v>
      </c>
    </row>
    <row r="14" spans="1:10" ht="15">
      <c r="A14" s="23"/>
      <c r="B14" s="33" t="s">
        <v>35</v>
      </c>
      <c r="C14" s="18"/>
      <c r="D14" s="449">
        <f>-'BALANCE GENERAL 2016'!J20</f>
        <v>-880651.1899999976</v>
      </c>
      <c r="E14" s="18"/>
      <c r="F14" s="114">
        <f>-'BALANCES 2016-2015'!F40</f>
        <v>-7690893.810000002</v>
      </c>
      <c r="G14" s="144"/>
      <c r="H14" s="94">
        <f>+D14-F14</f>
        <v>6810242.620000005</v>
      </c>
      <c r="I14" s="33"/>
      <c r="J14" s="104">
        <f>+H14/F14</f>
        <v>-0.8854942986139088</v>
      </c>
    </row>
    <row r="15" spans="1:10" ht="15">
      <c r="A15" s="23"/>
      <c r="B15" s="18"/>
      <c r="C15" s="18"/>
      <c r="D15" s="355"/>
      <c r="E15" s="18"/>
      <c r="F15" s="144"/>
      <c r="G15" s="144"/>
      <c r="H15" s="18"/>
      <c r="I15" s="18"/>
      <c r="J15" s="93"/>
    </row>
    <row r="16" spans="1:10" ht="15">
      <c r="A16" s="23"/>
      <c r="B16" s="21" t="s">
        <v>350</v>
      </c>
      <c r="C16" s="18"/>
      <c r="D16" s="448">
        <f>SUM(D10:D15)</f>
        <v>21200675.241721645</v>
      </c>
      <c r="E16" s="18"/>
      <c r="F16" s="20">
        <f>SUM(F10:F15)</f>
        <v>86862759.63827553</v>
      </c>
      <c r="G16" s="20"/>
      <c r="H16" s="20">
        <f>SUM(H10:H15)</f>
        <v>-65662084.396553874</v>
      </c>
      <c r="I16" s="20"/>
      <c r="J16" s="43">
        <f>SUM(J10:J15)</f>
        <v>-3.7721432976141673</v>
      </c>
    </row>
    <row r="17" spans="1:10" ht="15">
      <c r="A17" s="23"/>
      <c r="B17" s="18"/>
      <c r="C17" s="18"/>
      <c r="D17" s="355"/>
      <c r="E17" s="18"/>
      <c r="F17" s="144"/>
      <c r="G17" s="144"/>
      <c r="H17" s="18"/>
      <c r="I17" s="18"/>
      <c r="J17" s="93"/>
    </row>
    <row r="18" spans="1:10" ht="15">
      <c r="A18" s="23"/>
      <c r="B18" s="21" t="s">
        <v>351</v>
      </c>
      <c r="C18" s="18"/>
      <c r="D18" s="355"/>
      <c r="E18" s="18"/>
      <c r="F18" s="144"/>
      <c r="G18" s="144"/>
      <c r="H18" s="18"/>
      <c r="I18" s="18"/>
      <c r="J18" s="93"/>
    </row>
    <row r="19" spans="1:10" ht="15">
      <c r="A19" s="23"/>
      <c r="B19" s="18" t="s">
        <v>442</v>
      </c>
      <c r="C19" s="18"/>
      <c r="D19" s="355">
        <f>-'BALANCE GENERAL 2016'!J11</f>
        <v>212157817</v>
      </c>
      <c r="E19" s="18"/>
      <c r="F19" s="144">
        <f>158120130.51+11487172</f>
        <v>169607302.51</v>
      </c>
      <c r="G19" s="144"/>
      <c r="H19" s="94">
        <f aca="true" t="shared" si="0" ref="H19:H27">+D19-F19</f>
        <v>42550514.49000001</v>
      </c>
      <c r="I19" s="33"/>
      <c r="J19" s="104">
        <f aca="true" t="shared" si="1" ref="J19:J27">+H19/F19</f>
        <v>0.2508766654518973</v>
      </c>
    </row>
    <row r="20" spans="1:10" ht="15">
      <c r="A20" s="23"/>
      <c r="B20" s="18" t="s">
        <v>443</v>
      </c>
      <c r="C20" s="18"/>
      <c r="D20" s="355">
        <f>-'BALANCES 2016-2015'!L10</f>
        <v>41498602</v>
      </c>
      <c r="E20" s="18"/>
      <c r="F20" s="144">
        <v>784380</v>
      </c>
      <c r="G20" s="144"/>
      <c r="H20" s="94">
        <f t="shared" si="0"/>
        <v>40714222</v>
      </c>
      <c r="I20" s="33"/>
      <c r="J20" s="104">
        <f t="shared" si="1"/>
        <v>51.90624697213085</v>
      </c>
    </row>
    <row r="21" spans="1:10" ht="15">
      <c r="A21" s="23"/>
      <c r="B21" s="18" t="s">
        <v>444</v>
      </c>
      <c r="C21" s="18"/>
      <c r="D21" s="355">
        <f>-'BALANCES 2016-2015'!S19-0.49</f>
        <v>103414436.51</v>
      </c>
      <c r="E21" s="18"/>
      <c r="F21" s="144">
        <f>-'BALANCES 2016-2015'!C13</f>
        <v>-39769270</v>
      </c>
      <c r="G21" s="144"/>
      <c r="H21" s="94">
        <f t="shared" si="0"/>
        <v>143183706.51</v>
      </c>
      <c r="I21" s="33"/>
      <c r="J21" s="104">
        <f t="shared" si="1"/>
        <v>-3.6003604418688093</v>
      </c>
    </row>
    <row r="22" spans="1:10" ht="15">
      <c r="A22" s="23"/>
      <c r="B22" s="18" t="s">
        <v>445</v>
      </c>
      <c r="C22" s="18"/>
      <c r="D22" s="355">
        <f>-'BALANCES 2016-2015'!L15</f>
        <v>3747344</v>
      </c>
      <c r="E22" s="18"/>
      <c r="F22" s="144">
        <v>-13507995.7</v>
      </c>
      <c r="G22" s="144"/>
      <c r="H22" s="94">
        <f t="shared" si="0"/>
        <v>17255339.7</v>
      </c>
      <c r="I22" s="33"/>
      <c r="J22" s="104">
        <f t="shared" si="1"/>
        <v>-1.277416730299966</v>
      </c>
    </row>
    <row r="23" spans="1:10" ht="15">
      <c r="A23" s="23"/>
      <c r="B23" s="175" t="s">
        <v>446</v>
      </c>
      <c r="C23" s="18"/>
      <c r="D23" s="355">
        <f>-'BALANCES 2016-2015'!L43</f>
        <v>-203068525</v>
      </c>
      <c r="E23" s="18"/>
      <c r="F23" s="144">
        <v>0</v>
      </c>
      <c r="G23" s="144"/>
      <c r="H23" s="94">
        <f t="shared" si="0"/>
        <v>-203068525</v>
      </c>
      <c r="I23" s="33"/>
      <c r="J23" s="104" t="e">
        <f t="shared" si="1"/>
        <v>#DIV/0!</v>
      </c>
    </row>
    <row r="24" spans="1:10" ht="15">
      <c r="A24" s="23"/>
      <c r="B24" s="18" t="s">
        <v>447</v>
      </c>
      <c r="C24" s="18"/>
      <c r="D24" s="355">
        <f>+'BALANCES 2016-2015'!L55+'BALANCES 2016-2015'!L54+'BALANCES 2016-2015'!L57</f>
        <v>13482908</v>
      </c>
      <c r="E24" s="18"/>
      <c r="F24" s="144">
        <f>+'BALANCES 2016-2015'!F55+'BALANCES 2016-2015'!F54+'BALANCES 2016-2015'!F57+12.85</f>
        <v>-124797823.15</v>
      </c>
      <c r="G24" s="144"/>
      <c r="H24" s="94">
        <f t="shared" si="0"/>
        <v>138280731.15</v>
      </c>
      <c r="I24" s="33"/>
      <c r="J24" s="104">
        <f t="shared" si="1"/>
        <v>-1.1080380062703041</v>
      </c>
    </row>
    <row r="25" spans="1:10" ht="15">
      <c r="A25" s="23"/>
      <c r="B25" s="18" t="s">
        <v>448</v>
      </c>
      <c r="C25" s="18"/>
      <c r="D25" s="355">
        <f>'BALANCE GENERAL 2016'!J37</f>
        <v>-472969</v>
      </c>
      <c r="E25" s="18"/>
      <c r="F25" s="144">
        <f>+'BALANCES 2016-2015'!F56+'BALANCES 2016-2015'!F60</f>
        <v>-9639845</v>
      </c>
      <c r="G25" s="144"/>
      <c r="H25" s="94">
        <f t="shared" si="0"/>
        <v>9166876</v>
      </c>
      <c r="I25" s="33"/>
      <c r="J25" s="104">
        <f t="shared" si="1"/>
        <v>-0.9509360368346171</v>
      </c>
    </row>
    <row r="26" spans="1:10" ht="15">
      <c r="A26" s="23"/>
      <c r="B26" s="18" t="s">
        <v>449</v>
      </c>
      <c r="C26" s="18"/>
      <c r="D26" s="355">
        <f>'BALANCE GENERAL 2016'!J38</f>
        <v>75349056.55</v>
      </c>
      <c r="E26" s="18"/>
      <c r="F26" s="144">
        <f>+'BALANCES 2016-2015'!F63+'BALANCES 2016-2015'!F64</f>
        <v>14227728</v>
      </c>
      <c r="G26" s="144"/>
      <c r="H26" s="94">
        <f t="shared" si="0"/>
        <v>61121328.55</v>
      </c>
      <c r="I26" s="33"/>
      <c r="J26" s="104">
        <f t="shared" si="1"/>
        <v>4.295930351634499</v>
      </c>
    </row>
    <row r="27" spans="1:10" ht="15">
      <c r="A27" s="23"/>
      <c r="B27" s="18" t="s">
        <v>450</v>
      </c>
      <c r="C27" s="18"/>
      <c r="D27" s="449">
        <f>+'BALANCE GENERAL 2016'!J39+'BALANCE GENERAL 2016'!J40+'BALANCE GENERAL 2016'!J41</f>
        <v>-63022853</v>
      </c>
      <c r="E27" s="18"/>
      <c r="F27" s="114">
        <v>-15877619</v>
      </c>
      <c r="G27" s="144"/>
      <c r="H27" s="94">
        <f t="shared" si="0"/>
        <v>-47145234</v>
      </c>
      <c r="I27" s="33"/>
      <c r="J27" s="104">
        <f t="shared" si="1"/>
        <v>2.969288657197279</v>
      </c>
    </row>
    <row r="28" spans="1:10" ht="15">
      <c r="A28" s="23"/>
      <c r="B28" s="18"/>
      <c r="C28" s="18"/>
      <c r="D28" s="355"/>
      <c r="E28" s="18"/>
      <c r="F28" s="144"/>
      <c r="G28" s="144"/>
      <c r="H28" s="77"/>
      <c r="I28" s="18"/>
      <c r="J28" s="104"/>
    </row>
    <row r="29" spans="1:10" ht="15">
      <c r="A29" s="23"/>
      <c r="B29" s="21" t="s">
        <v>352</v>
      </c>
      <c r="C29" s="18"/>
      <c r="D29" s="448">
        <f>SUM(D19:D28)</f>
        <v>183085817.06</v>
      </c>
      <c r="E29" s="18"/>
      <c r="F29" s="20">
        <f>SUM(F19:F28)</f>
        <v>-18973142.34000002</v>
      </c>
      <c r="G29" s="20"/>
      <c r="H29" s="94">
        <f>+D29-F29</f>
        <v>202058959.40000004</v>
      </c>
      <c r="I29" s="33"/>
      <c r="J29" s="104">
        <f>+H29/F29</f>
        <v>-10.649736125892566</v>
      </c>
    </row>
    <row r="30" spans="1:10" ht="15">
      <c r="A30" s="23"/>
      <c r="B30" s="18"/>
      <c r="C30" s="18"/>
      <c r="D30" s="355"/>
      <c r="E30" s="18"/>
      <c r="F30" s="144"/>
      <c r="G30" s="144"/>
      <c r="H30" s="77"/>
      <c r="I30" s="18"/>
      <c r="J30" s="104"/>
    </row>
    <row r="31" spans="1:10" ht="15">
      <c r="A31" s="23"/>
      <c r="B31" s="21" t="s">
        <v>353</v>
      </c>
      <c r="C31" s="18"/>
      <c r="D31" s="355"/>
      <c r="E31" s="18"/>
      <c r="F31" s="144"/>
      <c r="G31" s="144"/>
      <c r="H31" s="77"/>
      <c r="I31" s="18"/>
      <c r="J31" s="104"/>
    </row>
    <row r="32" spans="1:10" ht="15">
      <c r="A32" s="23"/>
      <c r="B32" s="18" t="s">
        <v>354</v>
      </c>
      <c r="C32" s="18"/>
      <c r="D32" s="355">
        <f>-'BALANCE GENERAL 2016'!J10</f>
        <v>1143324</v>
      </c>
      <c r="E32" s="18"/>
      <c r="F32" s="144">
        <v>0</v>
      </c>
      <c r="G32" s="144"/>
      <c r="H32" s="94">
        <f>+D32-F32</f>
        <v>1143324</v>
      </c>
      <c r="I32" s="33"/>
      <c r="J32" s="104" t="e">
        <f>+H32/F32</f>
        <v>#DIV/0!</v>
      </c>
    </row>
    <row r="33" spans="1:10" ht="15">
      <c r="A33" s="23"/>
      <c r="B33" s="33" t="s">
        <v>355</v>
      </c>
      <c r="C33" s="18"/>
      <c r="D33" s="449">
        <f>-'BALANCES 2016-2015'!S35</f>
        <v>-30543108</v>
      </c>
      <c r="E33" s="18"/>
      <c r="F33" s="114">
        <f>-'BALANCES 2016-2015'!F31-'BALANCES 2016-2015'!F34-'BALANCES 2016-2015'!F35</f>
        <v>-9357127</v>
      </c>
      <c r="G33" s="144"/>
      <c r="H33" s="94">
        <f>+D33-F33</f>
        <v>-21185981</v>
      </c>
      <c r="I33" s="33"/>
      <c r="J33" s="104">
        <f>+H33/F33</f>
        <v>2.2641544781854517</v>
      </c>
    </row>
    <row r="34" spans="1:10" ht="15">
      <c r="A34" s="23"/>
      <c r="B34" s="21" t="s">
        <v>356</v>
      </c>
      <c r="C34" s="18"/>
      <c r="D34" s="448">
        <f>SUM(D32:D33)</f>
        <v>-29399784</v>
      </c>
      <c r="E34" s="18"/>
      <c r="F34" s="20">
        <f>SUM(F32:F33)</f>
        <v>-9357127</v>
      </c>
      <c r="G34" s="20"/>
      <c r="H34" s="20">
        <f>SUM(H32:H33)</f>
        <v>-20042657</v>
      </c>
      <c r="I34" s="20"/>
      <c r="J34" s="110">
        <f>+J33</f>
        <v>2.2641544781854517</v>
      </c>
    </row>
    <row r="35" spans="1:10" ht="15">
      <c r="A35" s="23"/>
      <c r="B35" s="18"/>
      <c r="C35" s="18"/>
      <c r="D35" s="355"/>
      <c r="E35" s="18"/>
      <c r="F35" s="144"/>
      <c r="G35" s="144"/>
      <c r="H35" s="18"/>
      <c r="I35" s="18"/>
      <c r="J35" s="93"/>
    </row>
    <row r="36" spans="1:10" ht="15">
      <c r="A36" s="23"/>
      <c r="B36" s="18"/>
      <c r="C36" s="18"/>
      <c r="D36" s="355"/>
      <c r="E36" s="18"/>
      <c r="F36" s="144"/>
      <c r="G36" s="144"/>
      <c r="H36" s="18"/>
      <c r="I36" s="18"/>
      <c r="J36" s="93"/>
    </row>
    <row r="37" spans="1:10" ht="15">
      <c r="A37" s="23"/>
      <c r="B37" s="21" t="s">
        <v>357</v>
      </c>
      <c r="C37" s="18"/>
      <c r="D37" s="355"/>
      <c r="E37" s="18"/>
      <c r="F37" s="144"/>
      <c r="G37" s="144"/>
      <c r="H37" s="18"/>
      <c r="I37" s="18"/>
      <c r="J37" s="93"/>
    </row>
    <row r="38" spans="1:10" ht="15">
      <c r="A38" s="23"/>
      <c r="B38" s="18" t="s">
        <v>360</v>
      </c>
      <c r="C38" s="18"/>
      <c r="D38" s="355">
        <f>+'BALANCE GENERAL 2016'!J35</f>
        <v>-149176985</v>
      </c>
      <c r="E38" s="18"/>
      <c r="F38" s="144">
        <v>36106929</v>
      </c>
      <c r="G38" s="144"/>
      <c r="H38" s="94">
        <f>+D38-F38</f>
        <v>-185283914</v>
      </c>
      <c r="I38" s="33"/>
      <c r="J38" s="104">
        <f>+H38/F38</f>
        <v>-5.131533451654113</v>
      </c>
    </row>
    <row r="39" spans="1:10" ht="15">
      <c r="A39" s="23"/>
      <c r="B39" s="18" t="s">
        <v>358</v>
      </c>
      <c r="C39" s="18"/>
      <c r="D39" s="449">
        <f>+'BALANCE GENERAL 2016'!J47</f>
        <v>-422810.8100000024</v>
      </c>
      <c r="E39" s="18"/>
      <c r="F39" s="114">
        <v>17351973</v>
      </c>
      <c r="G39" s="144"/>
      <c r="H39" s="94">
        <f>+D39-F39</f>
        <v>-17774783.810000002</v>
      </c>
      <c r="I39" s="33"/>
      <c r="J39" s="104">
        <f>+H39/F39</f>
        <v>-1.0243667282101006</v>
      </c>
    </row>
    <row r="40" spans="1:10" ht="15">
      <c r="A40" s="23"/>
      <c r="B40" s="21" t="s">
        <v>359</v>
      </c>
      <c r="C40" s="18"/>
      <c r="D40" s="448">
        <f>SUM(D38:D39)</f>
        <v>-149599795.81</v>
      </c>
      <c r="E40" s="18"/>
      <c r="F40" s="20">
        <f>SUM(F38:F39)</f>
        <v>53458902</v>
      </c>
      <c r="G40" s="20"/>
      <c r="H40" s="20">
        <f>SUM(H38:H39)</f>
        <v>-203058697.81</v>
      </c>
      <c r="I40" s="20"/>
      <c r="J40" s="32">
        <f>SUM(J38:J39)</f>
        <v>-6.155900179864214</v>
      </c>
    </row>
    <row r="41" spans="1:10" ht="15">
      <c r="A41" s="23"/>
      <c r="B41" s="18"/>
      <c r="C41" s="18"/>
      <c r="D41" s="448"/>
      <c r="E41" s="18"/>
      <c r="F41" s="20"/>
      <c r="G41" s="20"/>
      <c r="H41" s="21"/>
      <c r="I41" s="21"/>
      <c r="J41" s="111"/>
    </row>
    <row r="42" spans="1:10" ht="15">
      <c r="A42" s="23"/>
      <c r="B42" s="21" t="s">
        <v>361</v>
      </c>
      <c r="C42" s="18"/>
      <c r="D42" s="448">
        <f>+D16+D29+D34+D40</f>
        <v>25286912.49172163</v>
      </c>
      <c r="E42" s="18"/>
      <c r="F42" s="20">
        <f>+F16+F29+F34+F40</f>
        <v>111991392.29827552</v>
      </c>
      <c r="G42" s="20"/>
      <c r="H42" s="94">
        <f>+D42-F42</f>
        <v>-86704479.80655389</v>
      </c>
      <c r="I42" s="33"/>
      <c r="J42" s="104">
        <f>+H42/F42</f>
        <v>-0.7742066423786125</v>
      </c>
    </row>
    <row r="43" spans="1:10" ht="15">
      <c r="A43" s="23"/>
      <c r="B43" s="18"/>
      <c r="C43" s="18"/>
      <c r="D43" s="355"/>
      <c r="E43" s="18"/>
      <c r="F43" s="144"/>
      <c r="G43" s="144"/>
      <c r="H43" s="18"/>
      <c r="I43" s="18"/>
      <c r="J43" s="93"/>
    </row>
    <row r="44" spans="1:10" ht="15">
      <c r="A44" s="23"/>
      <c r="B44" s="21" t="s">
        <v>462</v>
      </c>
      <c r="C44" s="18"/>
      <c r="D44" s="355">
        <f>+F46</f>
        <v>470113315.29827553</v>
      </c>
      <c r="E44" s="18"/>
      <c r="F44" s="144">
        <v>358121923</v>
      </c>
      <c r="G44" s="144"/>
      <c r="H44" s="94">
        <f>+D44-F44</f>
        <v>111991392.29827553</v>
      </c>
      <c r="I44" s="33"/>
      <c r="J44" s="104">
        <f>+H44/F44</f>
        <v>0.31271861649831345</v>
      </c>
    </row>
    <row r="45" spans="1:10" ht="15">
      <c r="A45" s="23"/>
      <c r="B45" s="18"/>
      <c r="C45" s="18"/>
      <c r="D45" s="355"/>
      <c r="E45" s="18"/>
      <c r="F45" s="144"/>
      <c r="G45" s="144"/>
      <c r="H45" s="18"/>
      <c r="I45" s="18"/>
      <c r="J45" s="93"/>
    </row>
    <row r="46" spans="1:10" ht="15">
      <c r="A46" s="23"/>
      <c r="B46" s="21" t="s">
        <v>561</v>
      </c>
      <c r="C46" s="18"/>
      <c r="D46" s="448">
        <f>+D42+D44</f>
        <v>495400227.78999716</v>
      </c>
      <c r="E46" s="21"/>
      <c r="F46" s="20">
        <f>+F42+F44</f>
        <v>470113315.29827553</v>
      </c>
      <c r="G46" s="20"/>
      <c r="H46" s="20">
        <f>+D46-F46</f>
        <v>25286912.49172163</v>
      </c>
      <c r="I46" s="20"/>
      <c r="J46" s="32">
        <f>+H46/F46</f>
        <v>0.05378897314507609</v>
      </c>
    </row>
    <row r="47" spans="1:10" ht="15">
      <c r="A47" s="23"/>
      <c r="B47" s="18"/>
      <c r="C47" s="18"/>
      <c r="D47" s="450"/>
      <c r="E47" s="445"/>
      <c r="F47" s="446"/>
      <c r="G47" s="144"/>
      <c r="H47" s="18"/>
      <c r="I47" s="18"/>
      <c r="J47" s="93"/>
    </row>
    <row r="48" spans="1:10" ht="15">
      <c r="A48" s="23"/>
      <c r="B48" s="18"/>
      <c r="C48" s="18"/>
      <c r="D48" s="446"/>
      <c r="E48" s="446"/>
      <c r="F48" s="446"/>
      <c r="G48" s="144"/>
      <c r="H48" s="18"/>
      <c r="I48" s="18"/>
      <c r="J48" s="93"/>
    </row>
    <row r="49" spans="1:10" ht="15">
      <c r="A49" s="23"/>
      <c r="B49" s="18"/>
      <c r="C49" s="18"/>
      <c r="D49" s="136"/>
      <c r="E49" s="18"/>
      <c r="F49" s="144"/>
      <c r="G49" s="144"/>
      <c r="H49" s="18"/>
      <c r="I49" s="18"/>
      <c r="J49" s="93"/>
    </row>
    <row r="50" spans="1:10" ht="15">
      <c r="A50" s="23"/>
      <c r="B50" s="21"/>
      <c r="C50" s="233"/>
      <c r="D50" s="492"/>
      <c r="E50" s="492"/>
      <c r="F50" s="18"/>
      <c r="G50" s="18"/>
      <c r="H50" s="487"/>
      <c r="I50" s="487"/>
      <c r="J50" s="488"/>
    </row>
    <row r="51" spans="1:10" ht="15">
      <c r="A51" s="23"/>
      <c r="B51" s="21" t="s">
        <v>113</v>
      </c>
      <c r="C51" s="233"/>
      <c r="D51" s="492" t="s">
        <v>115</v>
      </c>
      <c r="E51" s="492"/>
      <c r="F51" s="18"/>
      <c r="G51" s="18"/>
      <c r="H51" s="487" t="s">
        <v>118</v>
      </c>
      <c r="I51" s="487"/>
      <c r="J51" s="488"/>
    </row>
    <row r="52" spans="1:10" ht="15">
      <c r="A52" s="23"/>
      <c r="B52" s="21" t="s">
        <v>114</v>
      </c>
      <c r="C52" s="233"/>
      <c r="D52" s="492" t="s">
        <v>116</v>
      </c>
      <c r="E52" s="492"/>
      <c r="F52" s="18"/>
      <c r="G52" s="18"/>
      <c r="H52" s="487" t="s">
        <v>119</v>
      </c>
      <c r="I52" s="487"/>
      <c r="J52" s="488"/>
    </row>
    <row r="53" spans="1:10" ht="15">
      <c r="A53" s="23"/>
      <c r="B53" s="18"/>
      <c r="C53" s="233"/>
      <c r="D53" s="254" t="s">
        <v>117</v>
      </c>
      <c r="E53" s="18"/>
      <c r="F53" s="18"/>
      <c r="G53" s="18"/>
      <c r="H53" s="21" t="s">
        <v>120</v>
      </c>
      <c r="I53" s="232"/>
      <c r="J53" s="37"/>
    </row>
    <row r="54" spans="1:10" ht="15">
      <c r="A54" s="23"/>
      <c r="B54" s="18"/>
      <c r="C54" s="233"/>
      <c r="D54" s="451"/>
      <c r="E54" s="233"/>
      <c r="F54" s="18"/>
      <c r="G54" s="18"/>
      <c r="H54" s="20" t="s">
        <v>121</v>
      </c>
      <c r="I54" s="18"/>
      <c r="J54" s="26"/>
    </row>
    <row r="55" spans="1:10" ht="15.75" thickBot="1">
      <c r="A55" s="38"/>
      <c r="B55" s="39"/>
      <c r="C55" s="40"/>
      <c r="D55" s="452"/>
      <c r="E55" s="40"/>
      <c r="F55" s="40"/>
      <c r="G55" s="40"/>
      <c r="H55" s="39"/>
      <c r="I55" s="39"/>
      <c r="J55" s="95"/>
    </row>
    <row r="56" spans="6:7" ht="15">
      <c r="F56" s="173"/>
      <c r="G56" s="173"/>
    </row>
    <row r="57" spans="6:7" ht="15">
      <c r="F57" s="173"/>
      <c r="G57" s="173"/>
    </row>
    <row r="58" spans="6:7" ht="15">
      <c r="F58" s="173"/>
      <c r="G58" s="173"/>
    </row>
    <row r="59" spans="6:7" ht="15">
      <c r="F59" s="173"/>
      <c r="G59" s="173"/>
    </row>
    <row r="60" spans="6:7" ht="15">
      <c r="F60" s="173"/>
      <c r="G60" s="173"/>
    </row>
    <row r="61" spans="6:7" ht="15">
      <c r="F61" s="173"/>
      <c r="G61" s="173"/>
    </row>
    <row r="62" spans="6:7" ht="15">
      <c r="F62" s="173"/>
      <c r="G62" s="173"/>
    </row>
    <row r="63" spans="6:7" ht="15">
      <c r="F63" s="173"/>
      <c r="G63" s="173"/>
    </row>
    <row r="64" spans="6:7" ht="15">
      <c r="F64" s="173"/>
      <c r="G64" s="173"/>
    </row>
    <row r="65" spans="6:7" ht="15">
      <c r="F65" s="173"/>
      <c r="G65" s="173"/>
    </row>
    <row r="66" spans="6:7" ht="15">
      <c r="F66" s="173"/>
      <c r="G66" s="173"/>
    </row>
    <row r="67" spans="6:7" ht="15">
      <c r="F67" s="173"/>
      <c r="G67" s="173"/>
    </row>
    <row r="68" spans="6:7" ht="15">
      <c r="F68" s="173"/>
      <c r="G68" s="173"/>
    </row>
    <row r="69" spans="6:7" ht="15">
      <c r="F69" s="173"/>
      <c r="G69" s="173"/>
    </row>
    <row r="70" spans="6:7" ht="15">
      <c r="F70" s="173"/>
      <c r="G70" s="173"/>
    </row>
    <row r="71" spans="6:7" ht="15">
      <c r="F71" s="173"/>
      <c r="G71" s="173"/>
    </row>
    <row r="72" spans="6:7" ht="15">
      <c r="F72" s="173"/>
      <c r="G72" s="173"/>
    </row>
    <row r="73" spans="6:7" ht="15">
      <c r="F73" s="173"/>
      <c r="G73" s="173"/>
    </row>
    <row r="74" spans="6:7" ht="15">
      <c r="F74" s="173"/>
      <c r="G74" s="173"/>
    </row>
    <row r="75" spans="6:7" ht="15">
      <c r="F75" s="173"/>
      <c r="G75" s="173"/>
    </row>
    <row r="76" spans="6:7" ht="15">
      <c r="F76" s="173"/>
      <c r="G76" s="173"/>
    </row>
    <row r="77" spans="6:7" ht="15">
      <c r="F77" s="173"/>
      <c r="G77" s="173"/>
    </row>
    <row r="78" spans="6:7" ht="15">
      <c r="F78" s="173"/>
      <c r="G78" s="173"/>
    </row>
    <row r="79" spans="6:7" ht="15">
      <c r="F79" s="173"/>
      <c r="G79" s="173"/>
    </row>
    <row r="80" spans="6:7" ht="15">
      <c r="F80" s="173"/>
      <c r="G80" s="173"/>
    </row>
    <row r="81" spans="6:7" ht="15">
      <c r="F81" s="173"/>
      <c r="G81" s="173"/>
    </row>
    <row r="82" spans="6:7" ht="15">
      <c r="F82" s="173"/>
      <c r="G82" s="173"/>
    </row>
    <row r="83" spans="6:7" ht="15">
      <c r="F83" s="173"/>
      <c r="G83" s="173"/>
    </row>
    <row r="84" spans="6:7" ht="15">
      <c r="F84" s="173"/>
      <c r="G84" s="173"/>
    </row>
    <row r="85" spans="6:7" ht="15">
      <c r="F85" s="173"/>
      <c r="G85" s="173"/>
    </row>
    <row r="86" spans="6:7" ht="15">
      <c r="F86" s="173"/>
      <c r="G86" s="173"/>
    </row>
    <row r="87" spans="6:7" ht="15">
      <c r="F87" s="173"/>
      <c r="G87" s="173"/>
    </row>
    <row r="88" spans="6:7" ht="15">
      <c r="F88" s="173"/>
      <c r="G88" s="173"/>
    </row>
    <row r="89" spans="6:7" ht="15">
      <c r="F89" s="173"/>
      <c r="G89" s="173"/>
    </row>
    <row r="90" spans="6:7" ht="15">
      <c r="F90" s="173"/>
      <c r="G90" s="173"/>
    </row>
    <row r="91" spans="6:7" ht="15">
      <c r="F91" s="173"/>
      <c r="G91" s="173"/>
    </row>
    <row r="92" spans="6:7" ht="15">
      <c r="F92" s="173"/>
      <c r="G92" s="173"/>
    </row>
    <row r="93" spans="6:7" ht="15">
      <c r="F93" s="173"/>
      <c r="G93" s="173"/>
    </row>
    <row r="94" spans="6:7" ht="15">
      <c r="F94" s="173"/>
      <c r="G94" s="173"/>
    </row>
    <row r="95" spans="6:7" ht="15">
      <c r="F95" s="173"/>
      <c r="G95" s="173"/>
    </row>
    <row r="96" spans="6:7" ht="15">
      <c r="F96" s="173"/>
      <c r="G96" s="173"/>
    </row>
    <row r="97" spans="6:7" ht="15">
      <c r="F97" s="173"/>
      <c r="G97" s="173"/>
    </row>
    <row r="98" spans="6:7" ht="15">
      <c r="F98" s="173"/>
      <c r="G98" s="173"/>
    </row>
    <row r="99" spans="6:7" ht="15">
      <c r="F99" s="173"/>
      <c r="G99" s="173"/>
    </row>
    <row r="100" spans="6:7" ht="15">
      <c r="F100" s="173"/>
      <c r="G100" s="173"/>
    </row>
    <row r="101" spans="6:7" ht="15">
      <c r="F101" s="173"/>
      <c r="G101" s="173"/>
    </row>
    <row r="102" spans="6:7" ht="15">
      <c r="F102" s="173"/>
      <c r="G102" s="173"/>
    </row>
    <row r="103" spans="6:7" ht="15">
      <c r="F103" s="173"/>
      <c r="G103" s="173"/>
    </row>
    <row r="104" spans="6:7" ht="15">
      <c r="F104" s="173"/>
      <c r="G104" s="173"/>
    </row>
    <row r="105" spans="6:7" ht="15">
      <c r="F105" s="173"/>
      <c r="G105" s="173"/>
    </row>
    <row r="106" spans="6:7" ht="15">
      <c r="F106" s="173"/>
      <c r="G106" s="173"/>
    </row>
    <row r="107" spans="6:7" ht="15">
      <c r="F107" s="173"/>
      <c r="G107" s="173"/>
    </row>
    <row r="108" spans="6:7" ht="15">
      <c r="F108" s="173"/>
      <c r="G108" s="173"/>
    </row>
    <row r="109" spans="6:7" ht="15">
      <c r="F109" s="173"/>
      <c r="G109" s="173"/>
    </row>
    <row r="110" spans="6:7" ht="15">
      <c r="F110" s="173"/>
      <c r="G110" s="173"/>
    </row>
    <row r="111" spans="6:7" ht="15">
      <c r="F111" s="173"/>
      <c r="G111" s="173"/>
    </row>
    <row r="112" spans="6:7" ht="15">
      <c r="F112" s="173"/>
      <c r="G112" s="173"/>
    </row>
    <row r="113" spans="6:7" ht="15">
      <c r="F113" s="173"/>
      <c r="G113" s="173"/>
    </row>
    <row r="114" spans="6:7" ht="15">
      <c r="F114" s="173"/>
      <c r="G114" s="173"/>
    </row>
    <row r="115" spans="6:7" ht="15">
      <c r="F115" s="173"/>
      <c r="G115" s="173"/>
    </row>
    <row r="116" spans="6:7" ht="15">
      <c r="F116" s="173"/>
      <c r="G116" s="173"/>
    </row>
    <row r="117" spans="6:7" ht="15">
      <c r="F117" s="173"/>
      <c r="G117" s="173"/>
    </row>
    <row r="118" spans="6:7" ht="15">
      <c r="F118" s="173"/>
      <c r="G118" s="173"/>
    </row>
    <row r="119" spans="6:7" ht="15">
      <c r="F119" s="173"/>
      <c r="G119" s="173"/>
    </row>
    <row r="120" spans="6:7" ht="15">
      <c r="F120" s="173"/>
      <c r="G120" s="173"/>
    </row>
    <row r="121" spans="6:7" ht="15">
      <c r="F121" s="173"/>
      <c r="G121" s="173"/>
    </row>
    <row r="122" spans="6:7" ht="15">
      <c r="F122" s="173"/>
      <c r="G122" s="173"/>
    </row>
    <row r="123" spans="6:7" ht="15">
      <c r="F123" s="173"/>
      <c r="G123" s="173"/>
    </row>
    <row r="124" spans="6:7" ht="15">
      <c r="F124" s="173"/>
      <c r="G124" s="173"/>
    </row>
    <row r="125" spans="6:7" ht="15">
      <c r="F125" s="173"/>
      <c r="G125" s="173"/>
    </row>
    <row r="126" spans="6:7" ht="15">
      <c r="F126" s="173"/>
      <c r="G126" s="173"/>
    </row>
    <row r="127" spans="6:7" ht="15">
      <c r="F127" s="173"/>
      <c r="G127" s="173"/>
    </row>
    <row r="128" spans="6:7" ht="15">
      <c r="F128" s="173"/>
      <c r="G128" s="173"/>
    </row>
    <row r="129" spans="6:7" ht="15">
      <c r="F129" s="173"/>
      <c r="G129" s="173"/>
    </row>
    <row r="130" spans="6:7" ht="15">
      <c r="F130" s="173"/>
      <c r="G130" s="173"/>
    </row>
    <row r="131" spans="6:7" ht="15">
      <c r="F131" s="173"/>
      <c r="G131" s="173"/>
    </row>
    <row r="132" spans="6:7" ht="15">
      <c r="F132" s="173"/>
      <c r="G132" s="173"/>
    </row>
    <row r="133" spans="6:7" ht="15">
      <c r="F133" s="173"/>
      <c r="G133" s="173"/>
    </row>
    <row r="134" spans="6:7" ht="15">
      <c r="F134" s="173"/>
      <c r="G134" s="173"/>
    </row>
    <row r="135" spans="6:7" ht="15">
      <c r="F135" s="173"/>
      <c r="G135" s="173"/>
    </row>
    <row r="136" spans="6:7" ht="15">
      <c r="F136" s="173"/>
      <c r="G136" s="173"/>
    </row>
    <row r="137" spans="6:7" ht="15">
      <c r="F137" s="173"/>
      <c r="G137" s="173"/>
    </row>
    <row r="138" spans="6:7" ht="15">
      <c r="F138" s="173"/>
      <c r="G138" s="173"/>
    </row>
    <row r="139" spans="6:7" ht="15">
      <c r="F139" s="173"/>
      <c r="G139" s="173"/>
    </row>
    <row r="140" spans="6:7" ht="15">
      <c r="F140" s="173"/>
      <c r="G140" s="173"/>
    </row>
    <row r="141" spans="6:7" ht="15">
      <c r="F141" s="173"/>
      <c r="G141" s="173"/>
    </row>
    <row r="142" spans="6:7" ht="15">
      <c r="F142" s="173"/>
      <c r="G142" s="173"/>
    </row>
    <row r="143" spans="6:7" ht="15">
      <c r="F143" s="173"/>
      <c r="G143" s="173"/>
    </row>
    <row r="144" spans="6:7" ht="15">
      <c r="F144" s="173"/>
      <c r="G144" s="173"/>
    </row>
    <row r="145" spans="6:7" ht="15">
      <c r="F145" s="173"/>
      <c r="G145" s="173"/>
    </row>
    <row r="146" spans="6:7" ht="15">
      <c r="F146" s="173"/>
      <c r="G146" s="173"/>
    </row>
    <row r="147" spans="6:7" ht="15">
      <c r="F147" s="173"/>
      <c r="G147" s="173"/>
    </row>
    <row r="148" spans="6:7" ht="15">
      <c r="F148" s="173"/>
      <c r="G148" s="173"/>
    </row>
    <row r="149" spans="6:7" ht="15">
      <c r="F149" s="173"/>
      <c r="G149" s="173"/>
    </row>
    <row r="150" spans="6:7" ht="15">
      <c r="F150" s="173"/>
      <c r="G150" s="173"/>
    </row>
    <row r="151" spans="6:7" ht="15">
      <c r="F151" s="173"/>
      <c r="G151" s="173"/>
    </row>
  </sheetData>
  <sheetProtection/>
  <mergeCells count="9">
    <mergeCell ref="D52:E52"/>
    <mergeCell ref="H52:J52"/>
    <mergeCell ref="B1:J1"/>
    <mergeCell ref="B2:J2"/>
    <mergeCell ref="B3:J3"/>
    <mergeCell ref="D50:E50"/>
    <mergeCell ref="H50:J50"/>
    <mergeCell ref="D51:E51"/>
    <mergeCell ref="H51:J5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5"/>
  <sheetViews>
    <sheetView zoomScalePageLayoutView="0" workbookViewId="0" topLeftCell="A1">
      <selection activeCell="O22" sqref="O22"/>
    </sheetView>
  </sheetViews>
  <sheetFormatPr defaultColWidth="11.421875" defaultRowHeight="15"/>
  <cols>
    <col min="1" max="1" width="5.140625" style="0" customWidth="1"/>
    <col min="2" max="2" width="37.28125" style="0" bestFit="1" customWidth="1"/>
    <col min="3" max="3" width="18.28125" style="461" bestFit="1" customWidth="1"/>
    <col min="4" max="4" width="2.8515625" style="460" customWidth="1"/>
    <col min="5" max="5" width="17.421875" style="461" bestFit="1" customWidth="1"/>
    <col min="6" max="6" width="4.00390625" style="460" customWidth="1"/>
    <col min="7" max="7" width="20.28125" style="460" bestFit="1" customWidth="1"/>
    <col min="8" max="8" width="4.00390625" style="460" customWidth="1"/>
    <col min="9" max="9" width="17.421875" style="461" bestFit="1" customWidth="1"/>
    <col min="10" max="10" width="3.140625" style="460" customWidth="1"/>
    <col min="11" max="11" width="18.28125" style="461" bestFit="1" customWidth="1"/>
    <col min="12" max="12" width="5.00390625" style="461" customWidth="1"/>
    <col min="13" max="13" width="18.140625" style="461" customWidth="1"/>
    <col min="14" max="14" width="7.57421875" style="461" customWidth="1"/>
    <col min="15" max="15" width="18.28125" style="461" customWidth="1"/>
  </cols>
  <sheetData>
    <row r="1" spans="1:16" ht="15">
      <c r="A1" s="499" t="s">
        <v>91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94"/>
    </row>
    <row r="2" spans="1:16" ht="15">
      <c r="A2" s="500" t="s">
        <v>366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5"/>
    </row>
    <row r="3" spans="1:16" ht="15">
      <c r="A3" s="500"/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5"/>
    </row>
    <row r="4" spans="1:16" ht="15">
      <c r="A4" s="115"/>
      <c r="B4" s="96"/>
      <c r="C4" s="297"/>
      <c r="D4" s="455"/>
      <c r="E4" s="298"/>
      <c r="F4" s="455"/>
      <c r="G4" s="455"/>
      <c r="H4" s="455"/>
      <c r="I4" s="298"/>
      <c r="J4" s="455"/>
      <c r="K4" s="298"/>
      <c r="L4" s="298"/>
      <c r="M4" s="298"/>
      <c r="N4" s="298"/>
      <c r="O4" s="298"/>
      <c r="P4" s="93"/>
    </row>
    <row r="5" spans="1:16" ht="45">
      <c r="A5" s="115"/>
      <c r="B5" s="21" t="s">
        <v>367</v>
      </c>
      <c r="C5" s="456" t="s">
        <v>563</v>
      </c>
      <c r="D5" s="297"/>
      <c r="E5" s="456" t="s">
        <v>564</v>
      </c>
      <c r="F5" s="455"/>
      <c r="G5" s="456" t="s">
        <v>567</v>
      </c>
      <c r="H5" s="455"/>
      <c r="I5" s="456" t="s">
        <v>410</v>
      </c>
      <c r="J5" s="457"/>
      <c r="K5" s="456" t="s">
        <v>409</v>
      </c>
      <c r="L5" s="456"/>
      <c r="M5" s="456" t="s">
        <v>565</v>
      </c>
      <c r="N5" s="456"/>
      <c r="O5" s="456" t="s">
        <v>566</v>
      </c>
      <c r="P5" s="93"/>
    </row>
    <row r="6" spans="1:16" ht="15">
      <c r="A6" s="23"/>
      <c r="B6" s="21"/>
      <c r="C6" s="298"/>
      <c r="D6" s="455"/>
      <c r="E6" s="298"/>
      <c r="F6" s="455"/>
      <c r="G6" s="455"/>
      <c r="H6" s="455"/>
      <c r="I6" s="298"/>
      <c r="J6" s="455"/>
      <c r="K6" s="298"/>
      <c r="L6" s="298"/>
      <c r="M6" s="298"/>
      <c r="N6" s="298"/>
      <c r="O6" s="298"/>
      <c r="P6" s="93"/>
    </row>
    <row r="7" spans="1:16" ht="15">
      <c r="A7" s="23"/>
      <c r="B7" s="18" t="s">
        <v>368</v>
      </c>
      <c r="C7" s="298">
        <v>381290478</v>
      </c>
      <c r="D7" s="455"/>
      <c r="E7" s="298"/>
      <c r="F7" s="455"/>
      <c r="G7" s="455">
        <f>+C7+E7</f>
        <v>381290478</v>
      </c>
      <c r="H7" s="455"/>
      <c r="I7" s="298">
        <f>+'FLUJOS DE EFECTIVO 2015'!F39+12</f>
        <v>17351985</v>
      </c>
      <c r="J7" s="455"/>
      <c r="K7" s="298">
        <f>+C7+E7+I7</f>
        <v>398642463</v>
      </c>
      <c r="L7" s="298"/>
      <c r="M7" s="298">
        <f>+'BALANCE GENERAL 2016'!J47-0.6</f>
        <v>-422811.41000000236</v>
      </c>
      <c r="N7" s="298"/>
      <c r="O7" s="298">
        <f>+K7+M7</f>
        <v>398219651.59</v>
      </c>
      <c r="P7" s="93"/>
    </row>
    <row r="8" spans="1:16" ht="15">
      <c r="A8" s="23"/>
      <c r="B8" s="18"/>
      <c r="C8" s="298"/>
      <c r="D8" s="455"/>
      <c r="E8" s="298"/>
      <c r="F8" s="455"/>
      <c r="G8" s="455"/>
      <c r="H8" s="455"/>
      <c r="I8" s="298"/>
      <c r="J8" s="455"/>
      <c r="K8" s="298"/>
      <c r="L8" s="298"/>
      <c r="M8" s="298"/>
      <c r="N8" s="298"/>
      <c r="O8" s="298"/>
      <c r="P8" s="93"/>
    </row>
    <row r="9" spans="1:16" ht="15">
      <c r="A9" s="23"/>
      <c r="B9" s="18" t="s">
        <v>104</v>
      </c>
      <c r="C9" s="298">
        <v>151864711</v>
      </c>
      <c r="D9" s="455"/>
      <c r="E9" s="298"/>
      <c r="F9" s="455"/>
      <c r="G9" s="455">
        <f>+C9+E9</f>
        <v>151864711</v>
      </c>
      <c r="H9" s="455"/>
      <c r="I9" s="298"/>
      <c r="J9" s="455"/>
      <c r="K9" s="298">
        <f aca="true" t="shared" si="0" ref="K9:K21">+C9+E9+I9</f>
        <v>151864711</v>
      </c>
      <c r="L9" s="298"/>
      <c r="M9" s="298"/>
      <c r="N9" s="298"/>
      <c r="O9" s="298">
        <f>+K9+M9</f>
        <v>151864711</v>
      </c>
      <c r="P9" s="93"/>
    </row>
    <row r="10" spans="1:16" ht="15">
      <c r="A10" s="23"/>
      <c r="B10" s="18"/>
      <c r="C10" s="298"/>
      <c r="D10" s="455"/>
      <c r="E10" s="298"/>
      <c r="F10" s="455"/>
      <c r="G10" s="455"/>
      <c r="H10" s="455"/>
      <c r="I10" s="298"/>
      <c r="J10" s="455"/>
      <c r="K10" s="298"/>
      <c r="L10" s="298"/>
      <c r="M10" s="298"/>
      <c r="N10" s="298"/>
      <c r="O10" s="298"/>
      <c r="P10" s="93"/>
    </row>
    <row r="11" spans="1:16" ht="15">
      <c r="A11" s="23"/>
      <c r="B11" s="18" t="s">
        <v>105</v>
      </c>
      <c r="C11" s="298">
        <f>378056300+88573421+10562811+127455053</f>
        <v>604647585</v>
      </c>
      <c r="D11" s="455"/>
      <c r="E11" s="298"/>
      <c r="F11" s="455"/>
      <c r="G11" s="455">
        <f>+C11+E11</f>
        <v>604647585</v>
      </c>
      <c r="H11" s="455"/>
      <c r="I11" s="298"/>
      <c r="J11" s="455"/>
      <c r="K11" s="298">
        <f t="shared" si="0"/>
        <v>604647585</v>
      </c>
      <c r="L11" s="298"/>
      <c r="M11" s="298"/>
      <c r="N11" s="298"/>
      <c r="O11" s="298">
        <f>+K11+M11</f>
        <v>604647585</v>
      </c>
      <c r="P11" s="93"/>
    </row>
    <row r="12" spans="1:16" ht="15">
      <c r="A12" s="23"/>
      <c r="B12" s="18"/>
      <c r="C12" s="298"/>
      <c r="D12" s="455"/>
      <c r="E12" s="298"/>
      <c r="F12" s="455"/>
      <c r="G12" s="455"/>
      <c r="H12" s="455"/>
      <c r="I12" s="298"/>
      <c r="J12" s="455"/>
      <c r="K12" s="298"/>
      <c r="L12" s="298"/>
      <c r="M12" s="298"/>
      <c r="N12" s="298"/>
      <c r="O12" s="298"/>
      <c r="P12" s="93"/>
    </row>
    <row r="13" spans="1:16" ht="15">
      <c r="A13" s="23"/>
      <c r="B13" s="18" t="s">
        <v>369</v>
      </c>
      <c r="C13" s="298">
        <v>4285400</v>
      </c>
      <c r="D13" s="455"/>
      <c r="E13" s="298"/>
      <c r="F13" s="455"/>
      <c r="G13" s="455">
        <f>+C13+E13</f>
        <v>4285400</v>
      </c>
      <c r="H13" s="455"/>
      <c r="I13" s="298"/>
      <c r="J13" s="455"/>
      <c r="K13" s="298">
        <f t="shared" si="0"/>
        <v>4285400</v>
      </c>
      <c r="L13" s="298"/>
      <c r="M13" s="298"/>
      <c r="N13" s="298"/>
      <c r="O13" s="298">
        <f>+K13+M13</f>
        <v>4285400</v>
      </c>
      <c r="P13" s="93"/>
    </row>
    <row r="14" spans="1:16" ht="15">
      <c r="A14" s="23"/>
      <c r="B14" s="18"/>
      <c r="C14" s="298"/>
      <c r="D14" s="455"/>
      <c r="E14" s="298"/>
      <c r="F14" s="455"/>
      <c r="G14" s="455"/>
      <c r="H14" s="455"/>
      <c r="I14" s="298"/>
      <c r="J14" s="455"/>
      <c r="K14" s="298"/>
      <c r="L14" s="298"/>
      <c r="M14" s="298"/>
      <c r="N14" s="298"/>
      <c r="O14" s="298"/>
      <c r="P14" s="93"/>
    </row>
    <row r="15" spans="1:16" ht="15">
      <c r="A15" s="23"/>
      <c r="B15" s="18" t="s">
        <v>370</v>
      </c>
      <c r="C15" s="298">
        <v>448478286.02</v>
      </c>
      <c r="D15" s="455"/>
      <c r="E15" s="298">
        <f>-C15</f>
        <v>-448478286.02</v>
      </c>
      <c r="F15" s="455"/>
      <c r="G15" s="455">
        <f>+C15+E15</f>
        <v>0</v>
      </c>
      <c r="H15" s="455"/>
      <c r="I15" s="298"/>
      <c r="J15" s="455"/>
      <c r="K15" s="298">
        <f t="shared" si="0"/>
        <v>0</v>
      </c>
      <c r="L15" s="298"/>
      <c r="M15" s="298"/>
      <c r="N15" s="298"/>
      <c r="O15" s="298">
        <f>+K15+M15</f>
        <v>0</v>
      </c>
      <c r="P15" s="93"/>
    </row>
    <row r="16" spans="1:16" ht="15">
      <c r="A16" s="23"/>
      <c r="B16" s="18"/>
      <c r="C16" s="298"/>
      <c r="D16" s="455"/>
      <c r="E16" s="298"/>
      <c r="F16" s="455"/>
      <c r="G16" s="455"/>
      <c r="H16" s="455"/>
      <c r="I16" s="298"/>
      <c r="J16" s="455"/>
      <c r="K16" s="298"/>
      <c r="L16" s="298"/>
      <c r="M16" s="298"/>
      <c r="N16" s="298"/>
      <c r="O16" s="298"/>
      <c r="P16" s="93"/>
    </row>
    <row r="17" spans="1:16" ht="15">
      <c r="A17" s="23"/>
      <c r="B17" s="18" t="s">
        <v>371</v>
      </c>
      <c r="C17" s="298">
        <f>-454726097-178769845</f>
        <v>-633495942</v>
      </c>
      <c r="D17" s="455"/>
      <c r="E17" s="298"/>
      <c r="F17" s="455"/>
      <c r="G17" s="455">
        <f>+C17+E17</f>
        <v>-633495942</v>
      </c>
      <c r="H17" s="455"/>
      <c r="I17" s="298"/>
      <c r="J17" s="455"/>
      <c r="K17" s="298">
        <f t="shared" si="0"/>
        <v>-633495942</v>
      </c>
      <c r="L17" s="298"/>
      <c r="M17" s="298">
        <f>+K21</f>
        <v>47565737.49</v>
      </c>
      <c r="N17" s="298"/>
      <c r="O17" s="298">
        <f>+K17+M17</f>
        <v>-585930204.51</v>
      </c>
      <c r="P17" s="93"/>
    </row>
    <row r="18" spans="1:16" ht="15">
      <c r="A18" s="23"/>
      <c r="B18" s="18"/>
      <c r="C18" s="298"/>
      <c r="D18" s="455"/>
      <c r="E18" s="298"/>
      <c r="F18" s="455"/>
      <c r="G18" s="455"/>
      <c r="H18" s="455"/>
      <c r="I18" s="298"/>
      <c r="J18" s="455"/>
      <c r="K18" s="298"/>
      <c r="L18" s="298"/>
      <c r="M18" s="298"/>
      <c r="N18" s="298"/>
      <c r="O18" s="298"/>
      <c r="P18" s="93"/>
    </row>
    <row r="19" spans="1:16" ht="15">
      <c r="A19" s="23"/>
      <c r="B19" s="18" t="str">
        <f>+'BALANCE GENERAL 2016'!B55</f>
        <v>RESULTADO POR REEXPRESION A NIIF</v>
      </c>
      <c r="C19" s="298"/>
      <c r="D19" s="455"/>
      <c r="E19" s="298">
        <f>+'BALANCE GENERAL 2016'!F55</f>
        <v>606524919.9</v>
      </c>
      <c r="F19" s="455"/>
      <c r="G19" s="455">
        <f>+C19+E19</f>
        <v>606524919.9</v>
      </c>
      <c r="H19" s="455"/>
      <c r="I19" s="298"/>
      <c r="J19" s="455"/>
      <c r="K19" s="298">
        <f t="shared" si="0"/>
        <v>606524919.9</v>
      </c>
      <c r="L19" s="298"/>
      <c r="M19" s="298"/>
      <c r="N19" s="298"/>
      <c r="O19" s="298">
        <f>+K19+M19</f>
        <v>606524919.9</v>
      </c>
      <c r="P19" s="93"/>
    </row>
    <row r="20" spans="1:16" ht="15">
      <c r="A20" s="23"/>
      <c r="B20" s="18"/>
      <c r="C20" s="298"/>
      <c r="D20" s="455"/>
      <c r="E20" s="298"/>
      <c r="F20" s="455"/>
      <c r="G20" s="455"/>
      <c r="H20" s="455"/>
      <c r="I20" s="298"/>
      <c r="J20" s="455"/>
      <c r="K20" s="298"/>
      <c r="L20" s="298"/>
      <c r="M20" s="298"/>
      <c r="N20" s="298"/>
      <c r="O20" s="298"/>
      <c r="P20" s="93"/>
    </row>
    <row r="21" spans="1:16" ht="15">
      <c r="A21" s="23"/>
      <c r="B21" s="18" t="s">
        <v>372</v>
      </c>
      <c r="C21" s="298"/>
      <c r="D21" s="455"/>
      <c r="E21" s="298"/>
      <c r="F21" s="455"/>
      <c r="G21" s="455">
        <f>+C21+E21</f>
        <v>0</v>
      </c>
      <c r="H21" s="455"/>
      <c r="I21" s="298">
        <f>+'BALANCE GENERAL 2016'!F53</f>
        <v>47565737.49</v>
      </c>
      <c r="J21" s="455"/>
      <c r="K21" s="298">
        <f t="shared" si="0"/>
        <v>47565737.49</v>
      </c>
      <c r="L21" s="298"/>
      <c r="M21" s="298">
        <f>+'BALANCE GENERAL 2016'!D53</f>
        <v>35843563.25999963</v>
      </c>
      <c r="N21" s="298"/>
      <c r="O21" s="298">
        <f>+M21</f>
        <v>35843563.25999963</v>
      </c>
      <c r="P21" s="93"/>
    </row>
    <row r="22" spans="1:16" ht="15">
      <c r="A22" s="23"/>
      <c r="B22" s="18"/>
      <c r="C22" s="298"/>
      <c r="D22" s="455"/>
      <c r="E22" s="298"/>
      <c r="F22" s="455"/>
      <c r="G22" s="455"/>
      <c r="H22" s="455"/>
      <c r="I22" s="298"/>
      <c r="J22" s="455"/>
      <c r="K22" s="298"/>
      <c r="L22" s="298"/>
      <c r="M22" s="298"/>
      <c r="N22" s="298"/>
      <c r="O22" s="298"/>
      <c r="P22" s="93"/>
    </row>
    <row r="23" spans="1:16" ht="15">
      <c r="A23" s="23"/>
      <c r="B23" s="21" t="s">
        <v>75</v>
      </c>
      <c r="C23" s="458">
        <f>SUM(C6:C22)</f>
        <v>957070518.02</v>
      </c>
      <c r="D23" s="455"/>
      <c r="E23" s="458">
        <f>SUM(E6:E22)</f>
        <v>158046633.88</v>
      </c>
      <c r="F23" s="455"/>
      <c r="G23" s="458">
        <f>+C23+E23</f>
        <v>1115117151.9</v>
      </c>
      <c r="H23" s="455"/>
      <c r="I23" s="458">
        <f>SUM(I6:I22)</f>
        <v>64917722.49</v>
      </c>
      <c r="J23" s="455"/>
      <c r="K23" s="458">
        <f>SUM(K6:K22)</f>
        <v>1180034874.39</v>
      </c>
      <c r="L23" s="457"/>
      <c r="M23" s="458">
        <f>SUM(M6:M22)</f>
        <v>82986489.33999963</v>
      </c>
      <c r="N23" s="457"/>
      <c r="O23" s="458">
        <f>SUM(O6:O22)</f>
        <v>1215455626.2399998</v>
      </c>
      <c r="P23" s="93"/>
    </row>
    <row r="24" spans="1:16" ht="15">
      <c r="A24" s="23"/>
      <c r="B24" s="18"/>
      <c r="C24" s="298"/>
      <c r="D24" s="455"/>
      <c r="E24" s="298"/>
      <c r="F24" s="455"/>
      <c r="G24" s="455"/>
      <c r="H24" s="455"/>
      <c r="I24" s="298"/>
      <c r="J24" s="455"/>
      <c r="K24" s="298"/>
      <c r="L24" s="298"/>
      <c r="M24" s="298"/>
      <c r="N24" s="298"/>
      <c r="O24" s="298"/>
      <c r="P24" s="93"/>
    </row>
    <row r="25" spans="1:16" ht="15">
      <c r="A25" s="23"/>
      <c r="B25" s="18"/>
      <c r="C25" s="298"/>
      <c r="D25" s="455"/>
      <c r="E25" s="298"/>
      <c r="F25" s="455"/>
      <c r="G25" s="455"/>
      <c r="H25" s="455"/>
      <c r="I25" s="298"/>
      <c r="J25" s="455"/>
      <c r="K25" s="298"/>
      <c r="L25" s="298"/>
      <c r="M25" s="298"/>
      <c r="N25" s="298"/>
      <c r="O25" s="298"/>
      <c r="P25" s="93"/>
    </row>
    <row r="26" spans="1:16" ht="15">
      <c r="A26" s="23"/>
      <c r="B26" s="18"/>
      <c r="C26" s="298"/>
      <c r="D26" s="455"/>
      <c r="E26" s="298"/>
      <c r="F26" s="455"/>
      <c r="G26" s="455"/>
      <c r="H26" s="455"/>
      <c r="I26" s="298"/>
      <c r="J26" s="455"/>
      <c r="K26" s="298"/>
      <c r="L26" s="298"/>
      <c r="M26" s="298"/>
      <c r="N26" s="298"/>
      <c r="O26" s="298"/>
      <c r="P26" s="93"/>
    </row>
    <row r="27" spans="1:16" ht="15">
      <c r="A27" s="23"/>
      <c r="B27" s="18"/>
      <c r="C27" s="298"/>
      <c r="D27" s="455"/>
      <c r="E27" s="298"/>
      <c r="F27" s="455"/>
      <c r="G27" s="455"/>
      <c r="H27" s="455"/>
      <c r="I27" s="298"/>
      <c r="J27" s="455"/>
      <c r="K27" s="298"/>
      <c r="L27" s="298"/>
      <c r="M27" s="298"/>
      <c r="N27" s="298"/>
      <c r="O27" s="298"/>
      <c r="P27" s="93"/>
    </row>
    <row r="28" spans="1:16" ht="15">
      <c r="A28" s="23"/>
      <c r="B28" s="18"/>
      <c r="C28" s="298"/>
      <c r="D28" s="455"/>
      <c r="E28" s="298"/>
      <c r="F28" s="455"/>
      <c r="G28" s="455"/>
      <c r="H28" s="455"/>
      <c r="I28" s="298"/>
      <c r="J28" s="455"/>
      <c r="K28" s="298"/>
      <c r="L28" s="298"/>
      <c r="M28" s="298"/>
      <c r="N28" s="298"/>
      <c r="O28" s="298"/>
      <c r="P28" s="93"/>
    </row>
    <row r="29" spans="1:16" ht="15">
      <c r="A29" s="23"/>
      <c r="B29" s="18"/>
      <c r="C29" s="298"/>
      <c r="D29" s="455"/>
      <c r="E29" s="298"/>
      <c r="F29" s="455"/>
      <c r="G29" s="455"/>
      <c r="H29" s="455"/>
      <c r="I29" s="298"/>
      <c r="J29" s="455"/>
      <c r="K29" s="298"/>
      <c r="L29" s="298"/>
      <c r="M29" s="298"/>
      <c r="N29" s="298"/>
      <c r="O29" s="298"/>
      <c r="P29" s="93"/>
    </row>
    <row r="30" spans="1:16" ht="15">
      <c r="A30" s="23"/>
      <c r="B30" s="21"/>
      <c r="C30" s="297"/>
      <c r="D30" s="501"/>
      <c r="E30" s="501"/>
      <c r="F30" s="501"/>
      <c r="G30" s="459"/>
      <c r="H30" s="459"/>
      <c r="I30" s="455"/>
      <c r="J30" s="487"/>
      <c r="K30" s="487"/>
      <c r="L30" s="487"/>
      <c r="M30" s="487"/>
      <c r="N30" s="487"/>
      <c r="O30" s="487"/>
      <c r="P30" s="488"/>
    </row>
    <row r="31" spans="1:16" ht="15">
      <c r="A31" s="23"/>
      <c r="B31" s="21" t="s">
        <v>113</v>
      </c>
      <c r="C31" s="297"/>
      <c r="F31" s="459" t="s">
        <v>115</v>
      </c>
      <c r="G31" s="459"/>
      <c r="H31" s="459"/>
      <c r="I31" s="459"/>
      <c r="J31" s="459"/>
      <c r="L31" s="462"/>
      <c r="M31" s="462" t="s">
        <v>118</v>
      </c>
      <c r="N31" s="462"/>
      <c r="O31" s="462"/>
      <c r="P31" s="261"/>
    </row>
    <row r="32" spans="1:16" ht="15">
      <c r="A32" s="23"/>
      <c r="B32" s="21" t="s">
        <v>114</v>
      </c>
      <c r="C32" s="297"/>
      <c r="F32" s="459" t="s">
        <v>116</v>
      </c>
      <c r="G32" s="459"/>
      <c r="H32" s="459"/>
      <c r="I32" s="459"/>
      <c r="J32" s="459"/>
      <c r="L32" s="462"/>
      <c r="M32" s="462" t="s">
        <v>119</v>
      </c>
      <c r="N32" s="462"/>
      <c r="O32" s="462"/>
      <c r="P32" s="261"/>
    </row>
    <row r="33" spans="1:16" ht="15">
      <c r="A33" s="23"/>
      <c r="B33" s="18"/>
      <c r="C33" s="297"/>
      <c r="F33" s="457" t="s">
        <v>117</v>
      </c>
      <c r="G33" s="457"/>
      <c r="H33" s="457"/>
      <c r="I33" s="455"/>
      <c r="J33" s="298"/>
      <c r="L33" s="462"/>
      <c r="M33" s="457" t="s">
        <v>120</v>
      </c>
      <c r="N33" s="462"/>
      <c r="O33" s="462"/>
      <c r="P33" s="37"/>
    </row>
    <row r="34" spans="1:16" ht="15">
      <c r="A34" s="23"/>
      <c r="B34" s="18"/>
      <c r="C34" s="297"/>
      <c r="D34" s="455"/>
      <c r="E34" s="455"/>
      <c r="F34" s="298"/>
      <c r="G34" s="298"/>
      <c r="H34" s="298"/>
      <c r="I34" s="455"/>
      <c r="L34" s="455"/>
      <c r="M34" s="457" t="s">
        <v>121</v>
      </c>
      <c r="N34" s="455"/>
      <c r="O34" s="455"/>
      <c r="P34" s="26"/>
    </row>
    <row r="35" spans="1:16" ht="15.75" thickBot="1">
      <c r="A35" s="38"/>
      <c r="B35" s="39"/>
      <c r="C35" s="463"/>
      <c r="D35" s="464"/>
      <c r="E35" s="463"/>
      <c r="F35" s="464"/>
      <c r="G35" s="464"/>
      <c r="H35" s="464"/>
      <c r="I35" s="463"/>
      <c r="J35" s="464"/>
      <c r="K35" s="463"/>
      <c r="L35" s="463"/>
      <c r="M35" s="463"/>
      <c r="N35" s="463"/>
      <c r="O35" s="463"/>
      <c r="P35" s="95"/>
    </row>
  </sheetData>
  <sheetProtection/>
  <mergeCells count="5">
    <mergeCell ref="A1:P1"/>
    <mergeCell ref="A2:P2"/>
    <mergeCell ref="A3:P3"/>
    <mergeCell ref="D30:F30"/>
    <mergeCell ref="J30:P30"/>
  </mergeCells>
  <printOptions horizontalCentered="1" verticalCentered="1"/>
  <pageMargins left="0.7086614173228347" right="1.1023622047244095" top="0.7480314960629921" bottom="0.7480314960629921" header="0.31496062992125984" footer="0.31496062992125984"/>
  <pageSetup fitToHeight="1" fitToWidth="1" horizontalDpi="600" verticalDpi="600" orientation="landscape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C25" sqref="C25"/>
    </sheetView>
  </sheetViews>
  <sheetFormatPr defaultColWidth="11.421875" defaultRowHeight="15"/>
  <cols>
    <col min="1" max="1" width="33.00390625" style="176" customWidth="1"/>
    <col min="2" max="2" width="16.421875" style="176" customWidth="1"/>
    <col min="3" max="3" width="16.8515625" style="176" customWidth="1"/>
    <col min="4" max="4" width="2.28125" style="176" customWidth="1"/>
    <col min="5" max="5" width="16.7109375" style="176" customWidth="1"/>
    <col min="6" max="6" width="4.57421875" style="176" customWidth="1"/>
    <col min="7" max="7" width="25.421875" style="176" bestFit="1" customWidth="1"/>
    <col min="8" max="8" width="5.421875" style="176" customWidth="1"/>
    <col min="9" max="16384" width="11.421875" style="176" customWidth="1"/>
  </cols>
  <sheetData>
    <row r="1" spans="1:9" ht="15">
      <c r="A1" s="499" t="s">
        <v>91</v>
      </c>
      <c r="B1" s="489"/>
      <c r="C1" s="489"/>
      <c r="D1" s="489"/>
      <c r="E1" s="489"/>
      <c r="F1" s="489"/>
      <c r="G1" s="489"/>
      <c r="H1" s="489"/>
      <c r="I1" s="494"/>
    </row>
    <row r="2" spans="1:9" ht="15">
      <c r="A2" s="500" t="s">
        <v>323</v>
      </c>
      <c r="B2" s="490"/>
      <c r="C2" s="490"/>
      <c r="D2" s="490"/>
      <c r="E2" s="490"/>
      <c r="F2" s="490"/>
      <c r="G2" s="490"/>
      <c r="H2" s="490"/>
      <c r="I2" s="495"/>
    </row>
    <row r="3" spans="1:9" ht="15">
      <c r="A3" s="500" t="s">
        <v>93</v>
      </c>
      <c r="B3" s="490"/>
      <c r="C3" s="490"/>
      <c r="D3" s="490"/>
      <c r="E3" s="490"/>
      <c r="F3" s="490"/>
      <c r="G3" s="490"/>
      <c r="H3" s="490"/>
      <c r="I3" s="495"/>
    </row>
    <row r="4" spans="1:9" ht="15">
      <c r="A4" s="231"/>
      <c r="B4" s="230"/>
      <c r="C4" s="230"/>
      <c r="D4" s="230"/>
      <c r="E4" s="98"/>
      <c r="F4" s="18"/>
      <c r="G4" s="18"/>
      <c r="H4" s="18"/>
      <c r="I4" s="93"/>
    </row>
    <row r="5" spans="1:9" ht="15">
      <c r="A5" s="231"/>
      <c r="B5" s="230"/>
      <c r="C5" s="27">
        <v>2016</v>
      </c>
      <c r="D5" s="230"/>
      <c r="E5" s="27">
        <v>2015</v>
      </c>
      <c r="F5" s="101"/>
      <c r="G5" s="20" t="s">
        <v>81</v>
      </c>
      <c r="H5" s="21"/>
      <c r="I5" s="28" t="s">
        <v>82</v>
      </c>
    </row>
    <row r="6" spans="1:9" ht="12.75">
      <c r="A6" s="239" t="s">
        <v>451</v>
      </c>
      <c r="B6" s="240"/>
      <c r="C6" s="238"/>
      <c r="D6" s="238"/>
      <c r="E6" s="238"/>
      <c r="F6" s="238"/>
      <c r="G6" s="238"/>
      <c r="H6" s="238"/>
      <c r="I6" s="241"/>
    </row>
    <row r="7" spans="1:9" ht="12.75">
      <c r="A7" s="239"/>
      <c r="B7" s="240"/>
      <c r="C7" s="238"/>
      <c r="D7" s="238"/>
      <c r="E7" s="238"/>
      <c r="F7" s="238"/>
      <c r="G7" s="238"/>
      <c r="H7" s="238"/>
      <c r="I7" s="241"/>
    </row>
    <row r="8" spans="1:9" ht="15">
      <c r="A8" s="239" t="s">
        <v>452</v>
      </c>
      <c r="B8" s="240"/>
      <c r="C8" s="177">
        <f>+'FLUJOS DE EFECTIVO 2015'!D10</f>
        <v>35843563.26999962</v>
      </c>
      <c r="D8" s="177"/>
      <c r="E8" s="177">
        <v>-454726097.52</v>
      </c>
      <c r="F8" s="238"/>
      <c r="G8" s="94">
        <f>+C8-E8</f>
        <v>490569660.7899996</v>
      </c>
      <c r="H8" s="33"/>
      <c r="I8" s="104">
        <f>+G8/E8</f>
        <v>-1.0788245131860352</v>
      </c>
    </row>
    <row r="9" spans="1:9" ht="15">
      <c r="A9" s="239" t="s">
        <v>453</v>
      </c>
      <c r="B9" s="240"/>
      <c r="C9" s="177">
        <f>+'FLUJOS DE EFECTIVO 2015'!D12</f>
        <v>21307961.391721994</v>
      </c>
      <c r="D9" s="177"/>
      <c r="E9" s="177">
        <v>46596973</v>
      </c>
      <c r="F9" s="238"/>
      <c r="G9" s="94">
        <f>+C9-E9</f>
        <v>-25289011.608278006</v>
      </c>
      <c r="H9" s="33"/>
      <c r="I9" s="104">
        <f>+G9/E9</f>
        <v>-0.5427179059094248</v>
      </c>
    </row>
    <row r="10" spans="1:9" ht="12.75">
      <c r="A10" s="239"/>
      <c r="B10" s="240"/>
      <c r="C10" s="177"/>
      <c r="D10" s="177"/>
      <c r="E10" s="177"/>
      <c r="F10" s="238"/>
      <c r="G10" s="238"/>
      <c r="H10" s="238"/>
      <c r="I10" s="241"/>
    </row>
    <row r="11" spans="1:9" ht="12.75">
      <c r="A11" s="239" t="s">
        <v>454</v>
      </c>
      <c r="B11" s="240"/>
      <c r="C11" s="177"/>
      <c r="D11" s="177"/>
      <c r="E11" s="177"/>
      <c r="F11" s="238"/>
      <c r="G11" s="238"/>
      <c r="H11" s="238"/>
      <c r="I11" s="241"/>
    </row>
    <row r="12" spans="1:9" ht="12.75">
      <c r="A12" s="239" t="s">
        <v>455</v>
      </c>
      <c r="B12" s="240"/>
      <c r="C12" s="177"/>
      <c r="D12" s="177"/>
      <c r="E12" s="177"/>
      <c r="F12" s="238"/>
      <c r="G12" s="238"/>
      <c r="H12" s="238"/>
      <c r="I12" s="241"/>
    </row>
    <row r="13" spans="1:9" ht="15">
      <c r="A13" s="242" t="s">
        <v>423</v>
      </c>
      <c r="B13" s="240"/>
      <c r="C13" s="177"/>
      <c r="D13" s="177"/>
      <c r="E13" s="177">
        <v>2345168</v>
      </c>
      <c r="F13" s="238"/>
      <c r="G13" s="94">
        <f>+C13-E13</f>
        <v>-2345168</v>
      </c>
      <c r="H13" s="33"/>
      <c r="I13" s="104">
        <f>+G13/E13</f>
        <v>-1</v>
      </c>
    </row>
    <row r="14" spans="1:9" ht="15">
      <c r="A14" s="242" t="s">
        <v>33</v>
      </c>
      <c r="B14" s="240"/>
      <c r="C14" s="177"/>
      <c r="D14" s="177"/>
      <c r="E14" s="177">
        <v>3472655</v>
      </c>
      <c r="F14" s="238"/>
      <c r="G14" s="94">
        <f>+C14-E14</f>
        <v>-3472655</v>
      </c>
      <c r="H14" s="33"/>
      <c r="I14" s="104">
        <f>+G14/E14</f>
        <v>-1</v>
      </c>
    </row>
    <row r="15" spans="1:9" ht="15">
      <c r="A15" s="242" t="s">
        <v>88</v>
      </c>
      <c r="B15" s="240"/>
      <c r="C15" s="177"/>
      <c r="D15" s="177"/>
      <c r="E15" s="177">
        <v>42952196</v>
      </c>
      <c r="F15" s="238"/>
      <c r="G15" s="94">
        <f>+C15-E15</f>
        <v>-42952196</v>
      </c>
      <c r="H15" s="33"/>
      <c r="I15" s="104">
        <f>+G15/E15</f>
        <v>-1</v>
      </c>
    </row>
    <row r="16" spans="1:9" ht="15">
      <c r="A16" s="243" t="s">
        <v>89</v>
      </c>
      <c r="B16" s="240"/>
      <c r="C16" s="177"/>
      <c r="D16" s="177"/>
      <c r="E16" s="177">
        <v>200267910</v>
      </c>
      <c r="F16" s="238"/>
      <c r="G16" s="94">
        <f>+C16-E16</f>
        <v>-200267910</v>
      </c>
      <c r="H16" s="33"/>
      <c r="I16" s="104">
        <f>+G16/E16</f>
        <v>-1</v>
      </c>
    </row>
    <row r="17" spans="1:9" ht="15">
      <c r="A17" s="242" t="s">
        <v>65</v>
      </c>
      <c r="B17" s="240"/>
      <c r="C17" s="177">
        <f>+'BALANCE GENERAL 2016'!J47</f>
        <v>-422810.8100000024</v>
      </c>
      <c r="D17" s="177"/>
      <c r="E17" s="177">
        <v>29003229</v>
      </c>
      <c r="F17" s="238"/>
      <c r="G17" s="94">
        <f>+C17-E17</f>
        <v>-29426039.810000002</v>
      </c>
      <c r="H17" s="33"/>
      <c r="I17" s="104">
        <f>+G17/E17</f>
        <v>-1.014578059911881</v>
      </c>
    </row>
    <row r="18" spans="1:9" ht="12.75">
      <c r="A18" s="239"/>
      <c r="B18" s="240"/>
      <c r="C18" s="177"/>
      <c r="D18" s="177"/>
      <c r="E18" s="177"/>
      <c r="F18" s="238"/>
      <c r="G18" s="238"/>
      <c r="H18" s="238"/>
      <c r="I18" s="241"/>
    </row>
    <row r="19" spans="1:9" ht="15">
      <c r="A19" s="239" t="s">
        <v>329</v>
      </c>
      <c r="B19" s="240"/>
      <c r="C19" s="235">
        <f>SUM(C8:C18)</f>
        <v>56728713.851721615</v>
      </c>
      <c r="D19" s="235"/>
      <c r="E19" s="235">
        <f>SUM(E8:E18)</f>
        <v>-130087966.51999998</v>
      </c>
      <c r="F19" s="238"/>
      <c r="G19" s="235">
        <f>+C19-E19</f>
        <v>186816680.3717216</v>
      </c>
      <c r="H19" s="235"/>
      <c r="I19" s="31">
        <f>+G19/E19</f>
        <v>-1.4360796418706416</v>
      </c>
    </row>
    <row r="20" spans="1:9" ht="12.75">
      <c r="A20" s="239"/>
      <c r="B20" s="240"/>
      <c r="C20" s="177"/>
      <c r="D20" s="177"/>
      <c r="E20" s="177"/>
      <c r="F20" s="238"/>
      <c r="G20" s="238"/>
      <c r="H20" s="238"/>
      <c r="I20" s="241"/>
    </row>
    <row r="21" spans="1:9" ht="12.75">
      <c r="A21" s="239"/>
      <c r="B21" s="240"/>
      <c r="C21" s="177"/>
      <c r="D21" s="177"/>
      <c r="E21" s="177"/>
      <c r="F21" s="238"/>
      <c r="G21" s="238"/>
      <c r="H21" s="238"/>
      <c r="I21" s="241"/>
    </row>
    <row r="22" spans="1:9" ht="12.75">
      <c r="A22" s="239" t="s">
        <v>456</v>
      </c>
      <c r="B22" s="240"/>
      <c r="C22" s="177"/>
      <c r="D22" s="177"/>
      <c r="E22" s="177"/>
      <c r="F22" s="238"/>
      <c r="G22" s="238"/>
      <c r="H22" s="238"/>
      <c r="I22" s="241"/>
    </row>
    <row r="23" spans="1:9" ht="12.75">
      <c r="A23" s="239"/>
      <c r="B23" s="240"/>
      <c r="C23" s="177"/>
      <c r="D23" s="177"/>
      <c r="E23" s="177"/>
      <c r="F23" s="238"/>
      <c r="G23" s="238"/>
      <c r="H23" s="238"/>
      <c r="I23" s="241"/>
    </row>
    <row r="24" spans="1:9" ht="15">
      <c r="A24" s="242" t="s">
        <v>86</v>
      </c>
      <c r="B24" s="240"/>
      <c r="C24" s="177">
        <f>+'BALANCES 2016-2015'!L40</f>
        <v>880651.1899999976</v>
      </c>
      <c r="D24" s="177"/>
      <c r="E24" s="177">
        <v>15040743.63</v>
      </c>
      <c r="F24" s="238"/>
      <c r="G24" s="94">
        <f>+C24-E24</f>
        <v>-14160092.440000003</v>
      </c>
      <c r="H24" s="33"/>
      <c r="I24" s="104">
        <f>+G24/E24</f>
        <v>-0.9414489594621195</v>
      </c>
    </row>
    <row r="25" spans="1:9" ht="15">
      <c r="A25" s="242" t="s">
        <v>423</v>
      </c>
      <c r="B25" s="240"/>
      <c r="C25" s="177">
        <f>+'BALANCES 2016-2015'!S35</f>
        <v>30543108</v>
      </c>
      <c r="D25" s="177"/>
      <c r="E25" s="177">
        <v>14830340</v>
      </c>
      <c r="F25" s="238"/>
      <c r="G25" s="94">
        <f>+C25-E25</f>
        <v>15712768</v>
      </c>
      <c r="H25" s="33"/>
      <c r="I25" s="104">
        <f>+G25/E25</f>
        <v>1.059501535366013</v>
      </c>
    </row>
    <row r="26" spans="1:9" ht="12.75">
      <c r="A26" s="239"/>
      <c r="B26" s="240"/>
      <c r="C26" s="177"/>
      <c r="D26" s="177"/>
      <c r="E26" s="177"/>
      <c r="F26" s="238"/>
      <c r="G26" s="238"/>
      <c r="H26" s="238"/>
      <c r="I26" s="241"/>
    </row>
    <row r="27" spans="1:9" ht="15">
      <c r="A27" s="239" t="s">
        <v>457</v>
      </c>
      <c r="B27" s="240"/>
      <c r="C27" s="235">
        <f>SUM(C24:C26)</f>
        <v>31423759.189999998</v>
      </c>
      <c r="D27" s="235"/>
      <c r="E27" s="235">
        <f>SUM(E24:E26)</f>
        <v>29871083.630000003</v>
      </c>
      <c r="F27" s="238"/>
      <c r="G27" s="94">
        <f>+C27-E27</f>
        <v>1552675.559999995</v>
      </c>
      <c r="H27" s="33"/>
      <c r="I27" s="104">
        <f>+G27/E27</f>
        <v>0.051979217735529964</v>
      </c>
    </row>
    <row r="28" spans="1:9" ht="12.75">
      <c r="A28" s="239"/>
      <c r="B28" s="240"/>
      <c r="C28" s="178"/>
      <c r="D28" s="177"/>
      <c r="E28" s="178"/>
      <c r="F28" s="238"/>
      <c r="G28" s="237"/>
      <c r="H28" s="238"/>
      <c r="I28" s="244"/>
    </row>
    <row r="29" spans="1:9" ht="12.75">
      <c r="A29" s="239"/>
      <c r="B29" s="240"/>
      <c r="C29" s="177"/>
      <c r="D29" s="177"/>
      <c r="E29" s="177"/>
      <c r="F29" s="238"/>
      <c r="G29" s="238"/>
      <c r="H29" s="238"/>
      <c r="I29" s="241"/>
    </row>
    <row r="30" spans="1:9" ht="13.5" thickBot="1">
      <c r="A30" s="239" t="s">
        <v>458</v>
      </c>
      <c r="B30" s="240"/>
      <c r="C30" s="236">
        <f>+C19-C27</f>
        <v>25304954.661721617</v>
      </c>
      <c r="D30" s="236"/>
      <c r="E30" s="236">
        <f>+E19-E27</f>
        <v>-159959050.14999998</v>
      </c>
      <c r="F30" s="238"/>
      <c r="G30" s="236">
        <f>+C30-E30</f>
        <v>185264004.8117216</v>
      </c>
      <c r="H30" s="235"/>
      <c r="I30" s="253">
        <f>+G30/E30</f>
        <v>-1.1581964548926251</v>
      </c>
    </row>
    <row r="31" spans="1:9" ht="15.75" thickTop="1">
      <c r="A31" s="243"/>
      <c r="B31" s="238"/>
      <c r="C31" s="177"/>
      <c r="D31" s="177"/>
      <c r="E31" s="177"/>
      <c r="F31" s="238"/>
      <c r="G31" s="238"/>
      <c r="H31" s="238"/>
      <c r="I31" s="104"/>
    </row>
    <row r="32" spans="1:9" ht="12.75">
      <c r="A32" s="243"/>
      <c r="B32" s="238"/>
      <c r="C32" s="177"/>
      <c r="D32" s="177"/>
      <c r="E32" s="177"/>
      <c r="F32" s="238"/>
      <c r="G32" s="238"/>
      <c r="H32" s="238"/>
      <c r="I32" s="241"/>
    </row>
    <row r="33" spans="1:9" ht="12.75">
      <c r="A33" s="243"/>
      <c r="B33" s="238"/>
      <c r="C33" s="177"/>
      <c r="D33" s="177"/>
      <c r="E33" s="177"/>
      <c r="F33" s="238"/>
      <c r="G33" s="238"/>
      <c r="H33" s="238"/>
      <c r="I33" s="241"/>
    </row>
    <row r="34" spans="1:9" ht="12.75">
      <c r="A34" s="243"/>
      <c r="B34" s="238"/>
      <c r="C34" s="177"/>
      <c r="D34" s="177"/>
      <c r="E34" s="177"/>
      <c r="F34" s="238"/>
      <c r="G34" s="238"/>
      <c r="H34" s="238"/>
      <c r="I34" s="241"/>
    </row>
    <row r="35" spans="1:9" ht="12.75">
      <c r="A35" s="243"/>
      <c r="B35" s="238"/>
      <c r="C35" s="177"/>
      <c r="D35" s="177"/>
      <c r="E35" s="177"/>
      <c r="F35" s="238"/>
      <c r="G35" s="238"/>
      <c r="H35" s="238"/>
      <c r="I35" s="241"/>
    </row>
    <row r="36" spans="1:9" ht="15">
      <c r="A36" s="34"/>
      <c r="B36" s="230"/>
      <c r="C36" s="492"/>
      <c r="D36" s="492"/>
      <c r="E36" s="18"/>
      <c r="F36" s="18"/>
      <c r="G36" s="487"/>
      <c r="H36" s="487"/>
      <c r="I36" s="488"/>
    </row>
    <row r="37" spans="1:9" ht="15">
      <c r="A37" s="34" t="s">
        <v>113</v>
      </c>
      <c r="B37" s="230"/>
      <c r="C37" s="232" t="s">
        <v>115</v>
      </c>
      <c r="D37" s="232"/>
      <c r="E37" s="18"/>
      <c r="F37" s="18"/>
      <c r="G37" s="487" t="s">
        <v>118</v>
      </c>
      <c r="H37" s="487"/>
      <c r="I37" s="488"/>
    </row>
    <row r="38" spans="1:9" ht="15">
      <c r="A38" s="34" t="s">
        <v>114</v>
      </c>
      <c r="B38" s="230"/>
      <c r="C38" s="492" t="s">
        <v>116</v>
      </c>
      <c r="D38" s="492"/>
      <c r="E38" s="18"/>
      <c r="F38" s="18"/>
      <c r="G38" s="487" t="s">
        <v>119</v>
      </c>
      <c r="H38" s="487"/>
      <c r="I38" s="488"/>
    </row>
    <row r="39" spans="1:9" ht="15">
      <c r="A39" s="23"/>
      <c r="B39" s="230"/>
      <c r="C39" s="21" t="s">
        <v>117</v>
      </c>
      <c r="D39" s="18"/>
      <c r="E39" s="18"/>
      <c r="F39" s="18"/>
      <c r="G39" s="21" t="s">
        <v>120</v>
      </c>
      <c r="H39" s="229"/>
      <c r="I39" s="37"/>
    </row>
    <row r="40" spans="1:9" ht="15">
      <c r="A40" s="23"/>
      <c r="B40" s="230"/>
      <c r="C40" s="230"/>
      <c r="D40" s="230"/>
      <c r="E40" s="18"/>
      <c r="F40" s="18"/>
      <c r="G40" s="20" t="s">
        <v>121</v>
      </c>
      <c r="H40" s="18"/>
      <c r="I40" s="26"/>
    </row>
    <row r="41" spans="1:9" ht="12.75">
      <c r="A41" s="242"/>
      <c r="B41" s="245"/>
      <c r="C41" s="246"/>
      <c r="D41" s="247"/>
      <c r="E41" s="246"/>
      <c r="F41" s="238"/>
      <c r="G41" s="238"/>
      <c r="H41" s="238"/>
      <c r="I41" s="241"/>
    </row>
    <row r="42" spans="1:9" ht="13.5" thickBot="1">
      <c r="A42" s="248"/>
      <c r="B42" s="249"/>
      <c r="C42" s="250"/>
      <c r="D42" s="250"/>
      <c r="E42" s="249"/>
      <c r="F42" s="251"/>
      <c r="G42" s="251"/>
      <c r="H42" s="251"/>
      <c r="I42" s="252"/>
    </row>
  </sheetData>
  <sheetProtection/>
  <mergeCells count="8">
    <mergeCell ref="C38:D38"/>
    <mergeCell ref="G38:I38"/>
    <mergeCell ref="A1:I1"/>
    <mergeCell ref="A2:I2"/>
    <mergeCell ref="A3:I3"/>
    <mergeCell ref="C36:D36"/>
    <mergeCell ref="G36:I36"/>
    <mergeCell ref="G37:I37"/>
  </mergeCells>
  <printOptions/>
  <pageMargins left="0.7874015748031497" right="0.15748031496062992" top="0.5118110236220472" bottom="0.7874015748031497" header="0.5905511811023623" footer="0.5905511811023623"/>
  <pageSetup fitToHeight="1" fitToWidth="1" horizontalDpi="300" verticalDpi="300" orientation="landscape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51"/>
  <sheetViews>
    <sheetView zoomScalePageLayoutView="0" workbookViewId="0" topLeftCell="A93">
      <selection activeCell="C211" sqref="C211"/>
    </sheetView>
  </sheetViews>
  <sheetFormatPr defaultColWidth="11.421875" defaultRowHeight="15"/>
  <cols>
    <col min="1" max="1" width="6.57421875" style="0" customWidth="1"/>
    <col min="2" max="2" width="34.8515625" style="0" customWidth="1"/>
    <col min="3" max="3" width="21.140625" style="75" customWidth="1"/>
    <col min="4" max="4" width="5.421875" style="0" customWidth="1"/>
    <col min="5" max="5" width="20.7109375" style="8" customWidth="1"/>
    <col min="6" max="6" width="22.57421875" style="0" customWidth="1"/>
    <col min="7" max="7" width="11.8515625" style="0" bestFit="1" customWidth="1"/>
    <col min="8" max="8" width="4.57421875" style="0" customWidth="1"/>
    <col min="9" max="9" width="16.7109375" style="0" bestFit="1" customWidth="1"/>
  </cols>
  <sheetData>
    <row r="1" spans="2:8" s="44" customFormat="1" ht="15">
      <c r="B1" s="502" t="s">
        <v>123</v>
      </c>
      <c r="C1" s="502"/>
      <c r="D1" s="502"/>
      <c r="E1" s="502"/>
      <c r="F1" s="502"/>
      <c r="G1" s="502"/>
      <c r="H1" s="45"/>
    </row>
    <row r="2" spans="3:5" s="44" customFormat="1" ht="15">
      <c r="C2" s="46"/>
      <c r="E2" s="47"/>
    </row>
    <row r="3" spans="3:5" s="44" customFormat="1" ht="15">
      <c r="C3" s="46"/>
      <c r="E3" s="47"/>
    </row>
    <row r="4" spans="3:8" s="44" customFormat="1" ht="15">
      <c r="C4" s="48">
        <v>2013</v>
      </c>
      <c r="E4" s="49">
        <v>2014</v>
      </c>
      <c r="F4" s="45" t="s">
        <v>124</v>
      </c>
      <c r="G4" s="45" t="s">
        <v>82</v>
      </c>
      <c r="H4" s="45"/>
    </row>
    <row r="5" spans="2:5" s="44" customFormat="1" ht="15">
      <c r="B5" s="44" t="s">
        <v>125</v>
      </c>
      <c r="C5" s="46"/>
      <c r="E5" s="47"/>
    </row>
    <row r="6" spans="3:5" s="44" customFormat="1" ht="15">
      <c r="C6" s="46"/>
      <c r="E6" s="47"/>
    </row>
    <row r="7" spans="2:8" s="50" customFormat="1" ht="15">
      <c r="B7" s="50" t="s">
        <v>126</v>
      </c>
      <c r="C7" s="46">
        <f>SUM(C8:C12)</f>
        <v>6095949532</v>
      </c>
      <c r="D7" s="51"/>
      <c r="E7" s="46">
        <f>SUM(E8:E12)</f>
        <v>5854464167</v>
      </c>
      <c r="F7" s="51">
        <f>+E7-C7</f>
        <v>-241485365</v>
      </c>
      <c r="G7" s="52">
        <f>+F7/C7</f>
        <v>-0.039614068937472297</v>
      </c>
      <c r="H7" s="52"/>
    </row>
    <row r="8" spans="2:8" s="53" customFormat="1" ht="15">
      <c r="B8" s="53" t="s">
        <v>127</v>
      </c>
      <c r="C8" s="54">
        <v>2756871532</v>
      </c>
      <c r="E8" s="55">
        <v>2611877067</v>
      </c>
      <c r="F8" s="56">
        <f aca="true" t="shared" si="0" ref="F8:F76">+E8-C8</f>
        <v>-144994465</v>
      </c>
      <c r="G8" s="57">
        <f aca="true" t="shared" si="1" ref="G8:G77">+F8/C8</f>
        <v>-0.05259384172131239</v>
      </c>
      <c r="H8" s="57"/>
    </row>
    <row r="9" spans="2:8" s="53" customFormat="1" ht="15">
      <c r="B9" s="53" t="s">
        <v>128</v>
      </c>
      <c r="C9" s="54">
        <v>523313700</v>
      </c>
      <c r="E9" s="55">
        <v>429424200</v>
      </c>
      <c r="F9" s="56">
        <f t="shared" si="0"/>
        <v>-93889500</v>
      </c>
      <c r="G9" s="57">
        <f t="shared" si="1"/>
        <v>-0.17941341875819417</v>
      </c>
      <c r="H9" s="57"/>
    </row>
    <row r="10" spans="2:8" s="53" customFormat="1" ht="15">
      <c r="B10" s="53" t="s">
        <v>129</v>
      </c>
      <c r="C10" s="54">
        <v>370754000</v>
      </c>
      <c r="E10" s="55">
        <v>456446100</v>
      </c>
      <c r="F10" s="56">
        <f t="shared" si="0"/>
        <v>85692100</v>
      </c>
      <c r="G10" s="57">
        <f t="shared" si="1"/>
        <v>0.23112926630596028</v>
      </c>
      <c r="H10" s="57"/>
    </row>
    <row r="11" spans="2:8" s="53" customFormat="1" ht="15">
      <c r="B11" s="53" t="s">
        <v>130</v>
      </c>
      <c r="C11" s="54">
        <v>168820000</v>
      </c>
      <c r="E11" s="55">
        <v>223017700</v>
      </c>
      <c r="F11" s="56">
        <f t="shared" si="0"/>
        <v>54197700</v>
      </c>
      <c r="G11" s="57">
        <f t="shared" si="1"/>
        <v>0.3210383840777159</v>
      </c>
      <c r="H11" s="57"/>
    </row>
    <row r="12" spans="2:8" s="53" customFormat="1" ht="15">
      <c r="B12" s="53" t="s">
        <v>131</v>
      </c>
      <c r="C12" s="54">
        <v>2276190300</v>
      </c>
      <c r="E12" s="55">
        <v>2133699100</v>
      </c>
      <c r="F12" s="56">
        <f t="shared" si="0"/>
        <v>-142491200</v>
      </c>
      <c r="G12" s="57">
        <f t="shared" si="1"/>
        <v>-0.06260074124733771</v>
      </c>
      <c r="H12" s="57"/>
    </row>
    <row r="13" spans="3:8" s="53" customFormat="1" ht="15">
      <c r="C13" s="58"/>
      <c r="E13" s="58"/>
      <c r="F13" s="56">
        <f t="shared" si="0"/>
        <v>0</v>
      </c>
      <c r="G13" s="57"/>
      <c r="H13" s="57"/>
    </row>
    <row r="14" spans="1:8" s="50" customFormat="1" ht="15">
      <c r="A14" s="50" t="s">
        <v>132</v>
      </c>
      <c r="B14" s="50" t="s">
        <v>133</v>
      </c>
      <c r="C14" s="46">
        <f>SUM(C15:C19)</f>
        <v>5519641184</v>
      </c>
      <c r="D14" s="46"/>
      <c r="E14" s="46">
        <f>SUM(E15:E19)</f>
        <v>5439560152.139999</v>
      </c>
      <c r="F14" s="51">
        <f t="shared" si="0"/>
        <v>-80081031.86000061</v>
      </c>
      <c r="G14" s="52">
        <f t="shared" si="1"/>
        <v>-0.014508376394490033</v>
      </c>
      <c r="H14" s="52"/>
    </row>
    <row r="15" spans="2:8" s="53" customFormat="1" ht="15">
      <c r="B15" s="53" t="s">
        <v>127</v>
      </c>
      <c r="C15" s="54">
        <v>2528609788</v>
      </c>
      <c r="E15" s="55">
        <f>2422997569+'[1]RESUMEN INFORME AUDITORIA '!D4</f>
        <v>2508471317.14</v>
      </c>
      <c r="F15" s="56">
        <f t="shared" si="0"/>
        <v>-20138470.860000134</v>
      </c>
      <c r="G15" s="57">
        <f t="shared" si="1"/>
        <v>-0.00796424618601537</v>
      </c>
      <c r="H15" s="57"/>
    </row>
    <row r="16" spans="2:8" s="53" customFormat="1" ht="15">
      <c r="B16" s="53" t="s">
        <v>128</v>
      </c>
      <c r="C16" s="54">
        <v>487936794</v>
      </c>
      <c r="E16" s="55">
        <v>388447576</v>
      </c>
      <c r="F16" s="56">
        <f t="shared" si="0"/>
        <v>-99489218</v>
      </c>
      <c r="G16" s="57">
        <f t="shared" si="1"/>
        <v>-0.20389775729845863</v>
      </c>
      <c r="H16" s="57"/>
    </row>
    <row r="17" spans="2:8" s="53" customFormat="1" ht="15">
      <c r="B17" s="53" t="s">
        <v>129</v>
      </c>
      <c r="C17" s="54">
        <v>332526752</v>
      </c>
      <c r="E17" s="55">
        <v>411489304</v>
      </c>
      <c r="F17" s="56">
        <f t="shared" si="0"/>
        <v>78962552</v>
      </c>
      <c r="G17" s="57">
        <f t="shared" si="1"/>
        <v>0.23746225386401393</v>
      </c>
      <c r="H17" s="57"/>
    </row>
    <row r="18" spans="2:8" s="53" customFormat="1" ht="15">
      <c r="B18" s="53" t="s">
        <v>130</v>
      </c>
      <c r="C18" s="54">
        <v>154638295</v>
      </c>
      <c r="E18" s="55">
        <v>203151006</v>
      </c>
      <c r="F18" s="56">
        <f t="shared" si="0"/>
        <v>48512711</v>
      </c>
      <c r="G18" s="57">
        <f t="shared" si="1"/>
        <v>0.31371731691687366</v>
      </c>
      <c r="H18" s="57"/>
    </row>
    <row r="19" spans="2:8" s="53" customFormat="1" ht="15">
      <c r="B19" s="53" t="s">
        <v>131</v>
      </c>
      <c r="C19" s="54">
        <v>2015929555</v>
      </c>
      <c r="E19" s="55">
        <v>1928000949</v>
      </c>
      <c r="F19" s="56">
        <f t="shared" si="0"/>
        <v>-87928606</v>
      </c>
      <c r="G19" s="57">
        <f t="shared" si="1"/>
        <v>-0.04361690406389225</v>
      </c>
      <c r="H19" s="57"/>
    </row>
    <row r="20" spans="3:8" s="59" customFormat="1" ht="15">
      <c r="C20" s="58"/>
      <c r="E20" s="60"/>
      <c r="F20" s="61">
        <f t="shared" si="0"/>
        <v>0</v>
      </c>
      <c r="G20" s="62"/>
      <c r="H20" s="62"/>
    </row>
    <row r="21" spans="1:8" s="44" customFormat="1" ht="15">
      <c r="A21" s="44" t="s">
        <v>134</v>
      </c>
      <c r="B21" s="44" t="s">
        <v>135</v>
      </c>
      <c r="C21" s="46">
        <f>+C7-C14</f>
        <v>576308348</v>
      </c>
      <c r="D21" s="47"/>
      <c r="E21" s="47">
        <f>+E7-E14</f>
        <v>414904014.8600006</v>
      </c>
      <c r="F21" s="63">
        <f t="shared" si="0"/>
        <v>-161404333.1399994</v>
      </c>
      <c r="G21" s="64">
        <f t="shared" si="1"/>
        <v>-0.28006592946316194</v>
      </c>
      <c r="H21" s="64"/>
    </row>
    <row r="22" spans="3:8" s="59" customFormat="1" ht="15">
      <c r="C22" s="58"/>
      <c r="E22" s="60"/>
      <c r="F22" s="61">
        <f t="shared" si="0"/>
        <v>0</v>
      </c>
      <c r="G22" s="62"/>
      <c r="H22" s="62"/>
    </row>
    <row r="23" spans="2:9" s="44" customFormat="1" ht="15">
      <c r="B23" s="44" t="s">
        <v>136</v>
      </c>
      <c r="C23" s="46">
        <f>SUM(C24:C62)</f>
        <v>201840879</v>
      </c>
      <c r="D23" s="47"/>
      <c r="E23" s="47">
        <f>SUM(E24:E62)</f>
        <v>328849156.57</v>
      </c>
      <c r="F23" s="63">
        <f t="shared" si="0"/>
        <v>127008277.57</v>
      </c>
      <c r="G23" s="64">
        <f t="shared" si="1"/>
        <v>0.6292495266531216</v>
      </c>
      <c r="H23" s="64"/>
      <c r="I23" s="65">
        <f>+E23+E94</f>
        <v>762738295.1299999</v>
      </c>
    </row>
    <row r="24" spans="2:8" s="53" customFormat="1" ht="15">
      <c r="B24" s="53" t="s">
        <v>137</v>
      </c>
      <c r="C24" s="58">
        <v>11284100</v>
      </c>
      <c r="E24" s="58">
        <v>21739800</v>
      </c>
      <c r="F24" s="56">
        <f t="shared" si="0"/>
        <v>10455700</v>
      </c>
      <c r="G24" s="57">
        <f t="shared" si="1"/>
        <v>0.9265869675029467</v>
      </c>
      <c r="H24" s="57"/>
    </row>
    <row r="25" spans="2:8" s="53" customFormat="1" ht="15">
      <c r="B25" s="53" t="s">
        <v>138</v>
      </c>
      <c r="C25" s="58">
        <v>4300982</v>
      </c>
      <c r="E25" s="58">
        <v>4761640</v>
      </c>
      <c r="F25" s="56">
        <f t="shared" si="0"/>
        <v>460658</v>
      </c>
      <c r="G25" s="57">
        <f t="shared" si="1"/>
        <v>0.10710530757859484</v>
      </c>
      <c r="H25" s="57"/>
    </row>
    <row r="26" spans="2:8" s="53" customFormat="1" ht="15">
      <c r="B26" s="53" t="s">
        <v>139</v>
      </c>
      <c r="C26" s="58">
        <v>6900</v>
      </c>
      <c r="E26" s="58">
        <v>1380</v>
      </c>
      <c r="F26" s="56">
        <f t="shared" si="0"/>
        <v>-5520</v>
      </c>
      <c r="G26" s="57">
        <f t="shared" si="1"/>
        <v>-0.8</v>
      </c>
      <c r="H26" s="57"/>
    </row>
    <row r="27" spans="2:8" s="53" customFormat="1" ht="15">
      <c r="B27" s="53" t="s">
        <v>140</v>
      </c>
      <c r="C27" s="58">
        <v>1421412</v>
      </c>
      <c r="E27" s="58">
        <v>2291273</v>
      </c>
      <c r="F27" s="56">
        <f t="shared" si="0"/>
        <v>869861</v>
      </c>
      <c r="G27" s="57">
        <f t="shared" si="1"/>
        <v>0.6119696470833228</v>
      </c>
      <c r="H27" s="57"/>
    </row>
    <row r="28" spans="2:8" s="53" customFormat="1" ht="15">
      <c r="B28" s="53" t="s">
        <v>141</v>
      </c>
      <c r="C28" s="58">
        <v>156823</v>
      </c>
      <c r="E28" s="58">
        <v>274952</v>
      </c>
      <c r="F28" s="56">
        <f t="shared" si="0"/>
        <v>118129</v>
      </c>
      <c r="G28" s="57">
        <f t="shared" si="1"/>
        <v>0.7532632330716795</v>
      </c>
      <c r="H28" s="57"/>
    </row>
    <row r="29" spans="2:8" s="53" customFormat="1" ht="15">
      <c r="B29" s="53" t="s">
        <v>142</v>
      </c>
      <c r="C29" s="58">
        <v>1468422</v>
      </c>
      <c r="E29" s="58">
        <v>2149205</v>
      </c>
      <c r="F29" s="56">
        <f t="shared" si="0"/>
        <v>680783</v>
      </c>
      <c r="G29" s="57">
        <f t="shared" si="1"/>
        <v>0.4636153639757508</v>
      </c>
      <c r="H29" s="57"/>
    </row>
    <row r="30" spans="2:8" s="53" customFormat="1" ht="15">
      <c r="B30" s="53" t="s">
        <v>143</v>
      </c>
      <c r="C30" s="58">
        <v>1209430</v>
      </c>
      <c r="E30" s="58">
        <v>1062086</v>
      </c>
      <c r="F30" s="56">
        <f t="shared" si="0"/>
        <v>-147344</v>
      </c>
      <c r="G30" s="57">
        <f t="shared" si="1"/>
        <v>-0.12182929148441828</v>
      </c>
      <c r="H30" s="57"/>
    </row>
    <row r="31" spans="2:8" s="53" customFormat="1" ht="15">
      <c r="B31" s="53" t="s">
        <v>144</v>
      </c>
      <c r="C31" s="58">
        <v>1081109</v>
      </c>
      <c r="E31" s="58">
        <v>1811650</v>
      </c>
      <c r="F31" s="56">
        <f t="shared" si="0"/>
        <v>730541</v>
      </c>
      <c r="G31" s="57">
        <f t="shared" si="1"/>
        <v>0.6757329741959414</v>
      </c>
      <c r="H31" s="57"/>
    </row>
    <row r="32" spans="2:8" s="53" customFormat="1" ht="15">
      <c r="B32" s="53" t="s">
        <v>145</v>
      </c>
      <c r="C32" s="58">
        <v>1741950</v>
      </c>
      <c r="E32" s="58">
        <v>0</v>
      </c>
      <c r="F32" s="56">
        <f t="shared" si="0"/>
        <v>-1741950</v>
      </c>
      <c r="G32" s="57">
        <f t="shared" si="1"/>
        <v>-1</v>
      </c>
      <c r="H32" s="57"/>
    </row>
    <row r="33" spans="2:8" s="53" customFormat="1" ht="15">
      <c r="B33" s="53" t="s">
        <v>146</v>
      </c>
      <c r="C33" s="54">
        <v>196500</v>
      </c>
      <c r="E33" s="58">
        <v>513301</v>
      </c>
      <c r="F33" s="56">
        <f t="shared" si="0"/>
        <v>316801</v>
      </c>
      <c r="G33" s="57">
        <f t="shared" si="1"/>
        <v>1.6122188295165394</v>
      </c>
      <c r="H33" s="57"/>
    </row>
    <row r="34" spans="2:8" s="53" customFormat="1" ht="15">
      <c r="B34" s="53" t="s">
        <v>147</v>
      </c>
      <c r="C34" s="58">
        <v>1760049</v>
      </c>
      <c r="E34" s="58">
        <v>2563060</v>
      </c>
      <c r="F34" s="56">
        <f t="shared" si="0"/>
        <v>803011</v>
      </c>
      <c r="G34" s="57">
        <f t="shared" si="1"/>
        <v>0.45624354776486337</v>
      </c>
      <c r="H34" s="57"/>
    </row>
    <row r="35" spans="2:8" s="53" customFormat="1" ht="15">
      <c r="B35" s="53" t="s">
        <v>148</v>
      </c>
      <c r="C35" s="58">
        <v>2462954</v>
      </c>
      <c r="E35" s="58">
        <v>3518306</v>
      </c>
      <c r="F35" s="56">
        <f t="shared" si="0"/>
        <v>1055352</v>
      </c>
      <c r="G35" s="57">
        <f t="shared" si="1"/>
        <v>0.42849034127312163</v>
      </c>
      <c r="H35" s="57"/>
    </row>
    <row r="36" spans="2:8" s="53" customFormat="1" ht="15">
      <c r="B36" s="53" t="s">
        <v>149</v>
      </c>
      <c r="C36" s="58">
        <v>212433</v>
      </c>
      <c r="E36" s="58">
        <v>315613.39</v>
      </c>
      <c r="F36" s="56">
        <f t="shared" si="0"/>
        <v>103180.39000000001</v>
      </c>
      <c r="G36" s="57">
        <f t="shared" si="1"/>
        <v>0.48570791731981383</v>
      </c>
      <c r="H36" s="57"/>
    </row>
    <row r="37" spans="2:8" s="53" customFormat="1" ht="15">
      <c r="B37" s="53" t="s">
        <v>150</v>
      </c>
      <c r="C37" s="58">
        <v>814100</v>
      </c>
      <c r="E37" s="58">
        <v>1206600</v>
      </c>
      <c r="F37" s="56">
        <f t="shared" si="0"/>
        <v>392500</v>
      </c>
      <c r="G37" s="57">
        <f t="shared" si="1"/>
        <v>0.48212750276378824</v>
      </c>
      <c r="H37" s="57"/>
    </row>
    <row r="38" spans="2:8" s="53" customFormat="1" ht="15">
      <c r="B38" s="53" t="s">
        <v>151</v>
      </c>
      <c r="C38" s="58">
        <v>610483</v>
      </c>
      <c r="E38" s="58">
        <v>904700</v>
      </c>
      <c r="F38" s="56">
        <f t="shared" si="0"/>
        <v>294217</v>
      </c>
      <c r="G38" s="57">
        <f t="shared" si="1"/>
        <v>0.48194134808012673</v>
      </c>
      <c r="H38" s="57"/>
    </row>
    <row r="39" spans="2:8" s="53" customFormat="1" ht="15">
      <c r="B39" s="53" t="s">
        <v>152</v>
      </c>
      <c r="C39" s="58">
        <v>406767</v>
      </c>
      <c r="E39" s="58">
        <v>603350</v>
      </c>
      <c r="F39" s="56">
        <f t="shared" si="0"/>
        <v>196583</v>
      </c>
      <c r="G39" s="57">
        <f t="shared" si="1"/>
        <v>0.48328158380596264</v>
      </c>
      <c r="H39" s="57"/>
    </row>
    <row r="40" spans="2:8" s="53" customFormat="1" ht="15">
      <c r="B40" s="53" t="s">
        <v>153</v>
      </c>
      <c r="C40" s="58">
        <v>347378</v>
      </c>
      <c r="D40" s="56"/>
      <c r="E40" s="58">
        <v>461226</v>
      </c>
      <c r="F40" s="56">
        <f t="shared" si="0"/>
        <v>113848</v>
      </c>
      <c r="G40" s="57">
        <f t="shared" si="1"/>
        <v>0.32773520487768365</v>
      </c>
      <c r="H40" s="57"/>
    </row>
    <row r="41" spans="2:8" s="53" customFormat="1" ht="15">
      <c r="B41" s="53" t="s">
        <v>154</v>
      </c>
      <c r="C41" s="54">
        <v>6752316</v>
      </c>
      <c r="E41" s="6">
        <f>8035812+'[1]RESUMEN INFORME AUDITORIA '!D10</f>
        <v>19035812</v>
      </c>
      <c r="F41" s="56">
        <f t="shared" si="0"/>
        <v>12283496</v>
      </c>
      <c r="G41" s="57">
        <f t="shared" si="1"/>
        <v>1.8191530135734169</v>
      </c>
      <c r="H41" s="57"/>
    </row>
    <row r="42" spans="2:8" s="53" customFormat="1" ht="15">
      <c r="B42" s="53" t="s">
        <v>155</v>
      </c>
      <c r="C42" s="58">
        <v>254454</v>
      </c>
      <c r="E42" s="58">
        <v>0</v>
      </c>
      <c r="F42" s="56">
        <f t="shared" si="0"/>
        <v>-254454</v>
      </c>
      <c r="G42" s="57">
        <f t="shared" si="1"/>
        <v>-1</v>
      </c>
      <c r="H42" s="57"/>
    </row>
    <row r="43" spans="2:8" s="53" customFormat="1" ht="15">
      <c r="B43" s="53" t="s">
        <v>156</v>
      </c>
      <c r="C43" s="58">
        <v>0</v>
      </c>
      <c r="E43" s="58">
        <v>0</v>
      </c>
      <c r="F43" s="56">
        <f t="shared" si="0"/>
        <v>0</v>
      </c>
      <c r="G43" s="57" t="e">
        <f t="shared" si="1"/>
        <v>#DIV/0!</v>
      </c>
      <c r="H43" s="57"/>
    </row>
    <row r="44" spans="2:8" s="53" customFormat="1" ht="15">
      <c r="B44" s="53" t="s">
        <v>157</v>
      </c>
      <c r="C44" s="58">
        <v>31171012</v>
      </c>
      <c r="E44" s="58">
        <v>29329663</v>
      </c>
      <c r="F44" s="56">
        <f t="shared" si="0"/>
        <v>-1841349</v>
      </c>
      <c r="G44" s="57">
        <f t="shared" si="1"/>
        <v>-0.05907248054699026</v>
      </c>
      <c r="H44" s="57"/>
    </row>
    <row r="45" spans="2:8" s="53" customFormat="1" ht="16.5" customHeight="1">
      <c r="B45" s="53" t="s">
        <v>158</v>
      </c>
      <c r="C45" s="58">
        <v>401363</v>
      </c>
      <c r="E45" s="58">
        <v>840838</v>
      </c>
      <c r="F45" s="56">
        <f t="shared" si="0"/>
        <v>439475</v>
      </c>
      <c r="G45" s="57">
        <f t="shared" si="1"/>
        <v>1.094956435944519</v>
      </c>
      <c r="H45" s="57"/>
    </row>
    <row r="46" spans="2:8" s="53" customFormat="1" ht="13.5" customHeight="1">
      <c r="B46" s="53" t="s">
        <v>159</v>
      </c>
      <c r="C46" s="58">
        <v>2223065</v>
      </c>
      <c r="E46" s="58">
        <v>1875196</v>
      </c>
      <c r="F46" s="56">
        <f t="shared" si="0"/>
        <v>-347869</v>
      </c>
      <c r="G46" s="57">
        <f t="shared" si="1"/>
        <v>-0.15648170431363906</v>
      </c>
      <c r="H46" s="57"/>
    </row>
    <row r="47" spans="2:8" s="53" customFormat="1" ht="15">
      <c r="B47" s="53" t="s">
        <v>160</v>
      </c>
      <c r="C47" s="58">
        <v>1426180</v>
      </c>
      <c r="E47" s="58">
        <v>2664970.68</v>
      </c>
      <c r="F47" s="56">
        <f t="shared" si="0"/>
        <v>1238790.6800000002</v>
      </c>
      <c r="G47" s="57">
        <f t="shared" si="1"/>
        <v>0.8686075249968448</v>
      </c>
      <c r="H47" s="57"/>
    </row>
    <row r="48" spans="2:8" s="53" customFormat="1" ht="15">
      <c r="B48" s="53" t="s">
        <v>161</v>
      </c>
      <c r="C48" s="58">
        <v>103285700</v>
      </c>
      <c r="E48" s="58">
        <v>72684686</v>
      </c>
      <c r="F48" s="56">
        <f t="shared" si="0"/>
        <v>-30601014</v>
      </c>
      <c r="G48" s="57">
        <f t="shared" si="1"/>
        <v>-0.2962754185719804</v>
      </c>
      <c r="H48" s="57"/>
    </row>
    <row r="49" spans="2:8" s="53" customFormat="1" ht="15">
      <c r="B49" s="53" t="s">
        <v>162</v>
      </c>
      <c r="C49" s="54">
        <v>3000</v>
      </c>
      <c r="E49" s="58">
        <v>0</v>
      </c>
      <c r="F49" s="56">
        <f t="shared" si="0"/>
        <v>-3000</v>
      </c>
      <c r="G49" s="57">
        <f t="shared" si="1"/>
        <v>-1</v>
      </c>
      <c r="H49" s="57"/>
    </row>
    <row r="50" spans="2:8" s="53" customFormat="1" ht="15">
      <c r="B50" s="53" t="s">
        <v>163</v>
      </c>
      <c r="C50" s="58">
        <v>293000</v>
      </c>
      <c r="E50" s="58">
        <v>6545500</v>
      </c>
      <c r="F50" s="56">
        <f t="shared" si="0"/>
        <v>6252500</v>
      </c>
      <c r="G50" s="57">
        <f t="shared" si="1"/>
        <v>21.339590443686006</v>
      </c>
      <c r="H50" s="57"/>
    </row>
    <row r="51" spans="2:8" s="59" customFormat="1" ht="15">
      <c r="B51" s="59" t="s">
        <v>164</v>
      </c>
      <c r="C51" s="54">
        <v>2500</v>
      </c>
      <c r="E51" s="60">
        <v>655200</v>
      </c>
      <c r="F51" s="56">
        <f t="shared" si="0"/>
        <v>652700</v>
      </c>
      <c r="G51" s="57">
        <f t="shared" si="1"/>
        <v>261.08</v>
      </c>
      <c r="H51" s="57"/>
    </row>
    <row r="52" spans="2:8" s="59" customFormat="1" ht="15">
      <c r="B52" s="59" t="s">
        <v>165</v>
      </c>
      <c r="C52" s="58">
        <v>350000</v>
      </c>
      <c r="E52" s="60">
        <v>1096702</v>
      </c>
      <c r="F52" s="56">
        <f t="shared" si="0"/>
        <v>746702</v>
      </c>
      <c r="G52" s="57">
        <f t="shared" si="1"/>
        <v>2.133434285714286</v>
      </c>
      <c r="H52" s="57"/>
    </row>
    <row r="53" spans="2:8" s="59" customFormat="1" ht="15">
      <c r="B53" s="59" t="s">
        <v>166</v>
      </c>
      <c r="C53" s="58">
        <v>1761660</v>
      </c>
      <c r="E53" s="60">
        <f>475950+1672960+5054715</f>
        <v>7203625</v>
      </c>
      <c r="F53" s="56">
        <f t="shared" si="0"/>
        <v>5441965</v>
      </c>
      <c r="G53" s="57">
        <f t="shared" si="1"/>
        <v>3.0891119739336763</v>
      </c>
      <c r="H53" s="57"/>
    </row>
    <row r="54" spans="2:8" s="59" customFormat="1" ht="15">
      <c r="B54" s="59" t="s">
        <v>167</v>
      </c>
      <c r="C54" s="58">
        <v>6816216</v>
      </c>
      <c r="E54" s="60">
        <v>5525410.5</v>
      </c>
      <c r="F54" s="56">
        <f t="shared" si="0"/>
        <v>-1290805.5</v>
      </c>
      <c r="G54" s="57">
        <f t="shared" si="1"/>
        <v>-0.1893727399483819</v>
      </c>
      <c r="H54" s="57"/>
    </row>
    <row r="55" spans="2:8" s="59" customFormat="1" ht="15">
      <c r="B55" s="59" t="s">
        <v>168</v>
      </c>
      <c r="C55" s="58">
        <v>12234975</v>
      </c>
      <c r="E55" s="55">
        <v>1636904</v>
      </c>
      <c r="F55" s="56">
        <f t="shared" si="0"/>
        <v>-10598071</v>
      </c>
      <c r="G55" s="57">
        <f t="shared" si="1"/>
        <v>-0.8662110874766806</v>
      </c>
      <c r="H55" s="57"/>
    </row>
    <row r="56" spans="2:8" s="59" customFormat="1" ht="15">
      <c r="B56" s="59" t="s">
        <v>169</v>
      </c>
      <c r="C56" s="58">
        <v>395450</v>
      </c>
      <c r="E56" s="60">
        <v>489850</v>
      </c>
      <c r="F56" s="56">
        <f t="shared" si="0"/>
        <v>94400</v>
      </c>
      <c r="G56" s="57">
        <f t="shared" si="1"/>
        <v>0.23871538753319005</v>
      </c>
      <c r="H56" s="57"/>
    </row>
    <row r="57" spans="2:8" s="59" customFormat="1" ht="15">
      <c r="B57" s="59" t="s">
        <v>170</v>
      </c>
      <c r="C57" s="58">
        <v>0</v>
      </c>
      <c r="E57" s="60">
        <v>354200</v>
      </c>
      <c r="F57" s="56">
        <f t="shared" si="0"/>
        <v>354200</v>
      </c>
      <c r="G57" s="57" t="e">
        <f t="shared" si="1"/>
        <v>#DIV/0!</v>
      </c>
      <c r="H57" s="57"/>
    </row>
    <row r="58" spans="2:8" s="59" customFormat="1" ht="15">
      <c r="B58" s="59" t="s">
        <v>171</v>
      </c>
      <c r="C58" s="58"/>
      <c r="E58" s="60">
        <v>305000</v>
      </c>
      <c r="F58" s="56">
        <f t="shared" si="0"/>
        <v>305000</v>
      </c>
      <c r="G58" s="57" t="e">
        <f t="shared" si="1"/>
        <v>#DIV/0!</v>
      </c>
      <c r="H58" s="57"/>
    </row>
    <row r="59" spans="2:8" s="59" customFormat="1" ht="15">
      <c r="B59" s="59" t="s">
        <v>172</v>
      </c>
      <c r="C59" s="58"/>
      <c r="E59" s="60">
        <v>546604</v>
      </c>
      <c r="F59" s="56">
        <f t="shared" si="0"/>
        <v>546604</v>
      </c>
      <c r="G59" s="57" t="e">
        <f t="shared" si="1"/>
        <v>#DIV/0!</v>
      </c>
      <c r="H59" s="57"/>
    </row>
    <row r="60" spans="2:8" s="59" customFormat="1" ht="15">
      <c r="B60" s="59" t="s">
        <v>173</v>
      </c>
      <c r="C60" s="58">
        <v>0</v>
      </c>
      <c r="E60" s="60">
        <v>124064268</v>
      </c>
      <c r="F60" s="56">
        <f t="shared" si="0"/>
        <v>124064268</v>
      </c>
      <c r="G60" s="57" t="e">
        <f t="shared" si="1"/>
        <v>#DIV/0!</v>
      </c>
      <c r="H60" s="57"/>
    </row>
    <row r="61" spans="2:8" s="59" customFormat="1" ht="15">
      <c r="B61" s="59" t="s">
        <v>174</v>
      </c>
      <c r="C61" s="58">
        <v>128700</v>
      </c>
      <c r="E61" s="60">
        <v>196000</v>
      </c>
      <c r="F61" s="56">
        <f t="shared" si="0"/>
        <v>67300</v>
      </c>
      <c r="G61" s="57">
        <f t="shared" si="1"/>
        <v>0.5229215229215229</v>
      </c>
      <c r="H61" s="57"/>
    </row>
    <row r="62" spans="2:8" s="59" customFormat="1" ht="15">
      <c r="B62" s="59" t="s">
        <v>175</v>
      </c>
      <c r="C62" s="54">
        <v>4859496</v>
      </c>
      <c r="E62" s="58">
        <f>6682557+2938028</f>
        <v>9620585</v>
      </c>
      <c r="F62" s="56">
        <f t="shared" si="0"/>
        <v>4761089</v>
      </c>
      <c r="G62" s="57">
        <f t="shared" si="1"/>
        <v>0.979749546043458</v>
      </c>
      <c r="H62" s="57"/>
    </row>
    <row r="63" spans="3:8" s="59" customFormat="1" ht="15">
      <c r="C63" s="58"/>
      <c r="E63" s="60"/>
      <c r="F63" s="61"/>
      <c r="G63" s="62"/>
      <c r="H63" s="62"/>
    </row>
    <row r="64" spans="1:8" s="44" customFormat="1" ht="15">
      <c r="A64" s="44" t="s">
        <v>176</v>
      </c>
      <c r="B64" s="44" t="s">
        <v>177</v>
      </c>
      <c r="C64" s="46">
        <f>+C21-C23</f>
        <v>374467469</v>
      </c>
      <c r="D64" s="47"/>
      <c r="E64" s="47">
        <f>+E21-E23</f>
        <v>86054858.29000062</v>
      </c>
      <c r="F64" s="63">
        <f t="shared" si="0"/>
        <v>-288412610.7099994</v>
      </c>
      <c r="G64" s="64">
        <f t="shared" si="1"/>
        <v>-0.770194034424922</v>
      </c>
      <c r="H64" s="64"/>
    </row>
    <row r="65" spans="3:8" s="59" customFormat="1" ht="15">
      <c r="C65" s="58"/>
      <c r="E65" s="60"/>
      <c r="F65" s="61"/>
      <c r="G65" s="62"/>
      <c r="H65" s="62"/>
    </row>
    <row r="66" spans="1:9" s="53" customFormat="1" ht="15">
      <c r="A66" s="53" t="s">
        <v>178</v>
      </c>
      <c r="B66" s="53" t="s">
        <v>179</v>
      </c>
      <c r="C66" s="58">
        <v>68408852</v>
      </c>
      <c r="E66" s="58">
        <v>52315180</v>
      </c>
      <c r="F66" s="56">
        <f>+E66-C66</f>
        <v>-16093672</v>
      </c>
      <c r="G66" s="57">
        <f>+F66/C66</f>
        <v>-0.23525715648612258</v>
      </c>
      <c r="H66" s="57"/>
      <c r="I66" s="66">
        <f>+E66-E68+E139-E141-E217</f>
        <v>25675837.75</v>
      </c>
    </row>
    <row r="67" spans="1:8" s="53" customFormat="1" ht="15">
      <c r="A67" s="53" t="s">
        <v>132</v>
      </c>
      <c r="B67" s="53" t="s">
        <v>180</v>
      </c>
      <c r="C67" s="58">
        <v>0</v>
      </c>
      <c r="E67" s="58"/>
      <c r="F67" s="56"/>
      <c r="G67" s="57"/>
      <c r="H67" s="57"/>
    </row>
    <row r="68" spans="2:8" s="59" customFormat="1" ht="15">
      <c r="B68" s="59" t="s">
        <v>181</v>
      </c>
      <c r="C68" s="67">
        <v>164178</v>
      </c>
      <c r="D68" s="67"/>
      <c r="E68" s="67">
        <v>30000</v>
      </c>
      <c r="F68" s="56">
        <f>+E68-C68</f>
        <v>-134178</v>
      </c>
      <c r="G68" s="57">
        <f>+F68/C68</f>
        <v>-0.8172714980082594</v>
      </c>
      <c r="H68" s="57"/>
    </row>
    <row r="69" spans="3:8" s="59" customFormat="1" ht="15">
      <c r="C69" s="67"/>
      <c r="D69" s="67"/>
      <c r="E69" s="67"/>
      <c r="F69" s="61"/>
      <c r="G69" s="62"/>
      <c r="H69" s="62"/>
    </row>
    <row r="70" spans="1:8" s="44" customFormat="1" ht="15">
      <c r="A70" s="44" t="s">
        <v>134</v>
      </c>
      <c r="B70" s="44" t="s">
        <v>182</v>
      </c>
      <c r="C70" s="46">
        <f>+C64+C66-C68</f>
        <v>442712143</v>
      </c>
      <c r="D70" s="47"/>
      <c r="E70" s="47">
        <f>+E64+E66-E68</f>
        <v>138340038.29000062</v>
      </c>
      <c r="F70" s="63">
        <f t="shared" si="0"/>
        <v>-304372104.7099994</v>
      </c>
      <c r="G70" s="64">
        <f t="shared" si="1"/>
        <v>-0.6875169554813846</v>
      </c>
      <c r="H70" s="64"/>
    </row>
    <row r="71" spans="3:8" s="59" customFormat="1" ht="15">
      <c r="C71" s="58"/>
      <c r="E71" s="60"/>
      <c r="F71" s="61"/>
      <c r="G71" s="62"/>
      <c r="H71" s="62"/>
    </row>
    <row r="72" spans="2:8" s="44" customFormat="1" ht="15">
      <c r="B72" s="44" t="s">
        <v>183</v>
      </c>
      <c r="C72" s="58"/>
      <c r="E72" s="47"/>
      <c r="F72" s="63"/>
      <c r="G72" s="64"/>
      <c r="H72" s="64"/>
    </row>
    <row r="73" spans="3:8" s="44" customFormat="1" ht="15">
      <c r="C73" s="58"/>
      <c r="E73" s="47"/>
      <c r="F73" s="63"/>
      <c r="G73" s="64"/>
      <c r="H73" s="64"/>
    </row>
    <row r="74" spans="3:8" s="44" customFormat="1" ht="15">
      <c r="C74" s="58"/>
      <c r="E74" s="47"/>
      <c r="F74" s="63"/>
      <c r="G74" s="64"/>
      <c r="H74" s="64"/>
    </row>
    <row r="75" spans="3:8" s="44" customFormat="1" ht="15">
      <c r="C75" s="58"/>
      <c r="E75" s="47"/>
      <c r="F75" s="63"/>
      <c r="G75" s="64"/>
      <c r="H75" s="64"/>
    </row>
    <row r="76" spans="2:8" s="50" customFormat="1" ht="15">
      <c r="B76" s="50" t="s">
        <v>184</v>
      </c>
      <c r="C76" s="46">
        <f>SUM(C77:C82)</f>
        <v>6003296480</v>
      </c>
      <c r="D76" s="46"/>
      <c r="E76" s="46">
        <f>SUM(E77:E81)</f>
        <v>10001477184</v>
      </c>
      <c r="F76" s="51">
        <f t="shared" si="0"/>
        <v>3998180704</v>
      </c>
      <c r="G76" s="52">
        <f t="shared" si="1"/>
        <v>0.6659975427367198</v>
      </c>
      <c r="H76" s="52"/>
    </row>
    <row r="77" spans="2:8" s="53" customFormat="1" ht="15">
      <c r="B77" s="53" t="s">
        <v>127</v>
      </c>
      <c r="C77" s="68">
        <v>1582391837</v>
      </c>
      <c r="E77" s="58">
        <v>2284081344</v>
      </c>
      <c r="F77" s="56">
        <f aca="true" t="shared" si="2" ref="F77:F83">+E77-C77</f>
        <v>701689507</v>
      </c>
      <c r="G77" s="57">
        <f t="shared" si="1"/>
        <v>0.4434360002326023</v>
      </c>
      <c r="H77" s="57"/>
    </row>
    <row r="78" spans="2:8" s="53" customFormat="1" ht="15">
      <c r="B78" s="53" t="s">
        <v>128</v>
      </c>
      <c r="C78" s="58">
        <v>653453652</v>
      </c>
      <c r="E78" s="58">
        <v>907292486</v>
      </c>
      <c r="F78" s="56">
        <f t="shared" si="2"/>
        <v>253838834</v>
      </c>
      <c r="G78" s="57">
        <f>+F78/C78</f>
        <v>0.3884572887810565</v>
      </c>
      <c r="H78" s="57"/>
    </row>
    <row r="79" spans="2:8" s="53" customFormat="1" ht="15">
      <c r="B79" s="53" t="s">
        <v>129</v>
      </c>
      <c r="C79" s="58">
        <v>1749343168</v>
      </c>
      <c r="E79" s="3">
        <v>2317297307</v>
      </c>
      <c r="F79" s="56">
        <f t="shared" si="2"/>
        <v>567954139</v>
      </c>
      <c r="G79" s="57">
        <f>+F79/C79</f>
        <v>0.324667080415865</v>
      </c>
      <c r="H79" s="57"/>
    </row>
    <row r="80" spans="2:8" s="53" customFormat="1" ht="15">
      <c r="B80" s="53" t="s">
        <v>130</v>
      </c>
      <c r="C80" s="58">
        <v>553482106</v>
      </c>
      <c r="E80" s="58">
        <v>962498635</v>
      </c>
      <c r="F80" s="56">
        <f t="shared" si="2"/>
        <v>409016529</v>
      </c>
      <c r="G80" s="57">
        <f>+F80/C80</f>
        <v>0.7389878093005594</v>
      </c>
      <c r="H80" s="57"/>
    </row>
    <row r="81" spans="2:8" s="53" customFormat="1" ht="15">
      <c r="B81" s="53" t="s">
        <v>131</v>
      </c>
      <c r="C81" s="58">
        <v>1462667083</v>
      </c>
      <c r="E81" s="58">
        <v>3530307412</v>
      </c>
      <c r="F81" s="56">
        <f t="shared" si="2"/>
        <v>2067640329</v>
      </c>
      <c r="G81" s="57">
        <f>+F81/C81</f>
        <v>1.4136096675937841</v>
      </c>
      <c r="H81" s="57"/>
    </row>
    <row r="82" spans="2:8" s="53" customFormat="1" ht="15">
      <c r="B82" s="53" t="s">
        <v>185</v>
      </c>
      <c r="C82" s="54">
        <v>1958634</v>
      </c>
      <c r="E82" s="58">
        <v>0</v>
      </c>
      <c r="F82" s="56">
        <f t="shared" si="2"/>
        <v>-1958634</v>
      </c>
      <c r="G82" s="57">
        <f>+F82/C82</f>
        <v>-1</v>
      </c>
      <c r="H82" s="57"/>
    </row>
    <row r="83" spans="3:8" s="53" customFormat="1" ht="15">
      <c r="C83" s="58"/>
      <c r="E83" s="58"/>
      <c r="F83" s="56">
        <f t="shared" si="2"/>
        <v>0</v>
      </c>
      <c r="G83" s="57"/>
      <c r="H83" s="57"/>
    </row>
    <row r="84" spans="1:8" s="50" customFormat="1" ht="15">
      <c r="A84" s="50" t="s">
        <v>132</v>
      </c>
      <c r="B84" s="50" t="s">
        <v>133</v>
      </c>
      <c r="C84" s="46">
        <f>SUM(C85:C90)</f>
        <v>5593545449</v>
      </c>
      <c r="D84" s="46"/>
      <c r="E84" s="46">
        <f>SUM(E85:E89)</f>
        <v>9632174916.89</v>
      </c>
      <c r="F84" s="51">
        <f aca="true" t="shared" si="3" ref="F84:F146">+E84-C84</f>
        <v>4038629467.8899994</v>
      </c>
      <c r="G84" s="52">
        <f aca="true" t="shared" si="4" ref="G84:G146">+F84/C84</f>
        <v>0.7220160280653508</v>
      </c>
      <c r="H84" s="52"/>
    </row>
    <row r="85" spans="2:8" s="53" customFormat="1" ht="15">
      <c r="B85" s="53" t="s">
        <v>127</v>
      </c>
      <c r="C85" s="58">
        <v>1369293360</v>
      </c>
      <c r="E85" s="58">
        <v>2222891807.29</v>
      </c>
      <c r="F85" s="56">
        <f t="shared" si="3"/>
        <v>853598447.29</v>
      </c>
      <c r="G85" s="57">
        <f t="shared" si="4"/>
        <v>0.6233860998858565</v>
      </c>
      <c r="H85" s="57"/>
    </row>
    <row r="86" spans="2:8" s="53" customFormat="1" ht="15">
      <c r="B86" s="53" t="s">
        <v>128</v>
      </c>
      <c r="C86" s="58">
        <v>618085862</v>
      </c>
      <c r="E86" s="58">
        <f>872096959+2583680</f>
        <v>874680639</v>
      </c>
      <c r="F86" s="56">
        <f t="shared" si="3"/>
        <v>256594777</v>
      </c>
      <c r="G86" s="57">
        <f t="shared" si="4"/>
        <v>0.41514422635345766</v>
      </c>
      <c r="H86" s="57"/>
    </row>
    <row r="87" spans="2:8" s="53" customFormat="1" ht="15">
      <c r="B87" s="53" t="s">
        <v>129</v>
      </c>
      <c r="C87" s="58">
        <v>1681592662</v>
      </c>
      <c r="E87" s="3">
        <v>2212008662.1</v>
      </c>
      <c r="F87" s="56">
        <f t="shared" si="3"/>
        <v>530416000.0999999</v>
      </c>
      <c r="G87" s="57">
        <f t="shared" si="4"/>
        <v>0.3154247827587154</v>
      </c>
      <c r="H87" s="57"/>
    </row>
    <row r="88" spans="2:8" s="53" customFormat="1" ht="15">
      <c r="B88" s="53" t="s">
        <v>130</v>
      </c>
      <c r="C88" s="58">
        <v>545759936</v>
      </c>
      <c r="E88" s="58">
        <v>936131749</v>
      </c>
      <c r="F88" s="56">
        <f t="shared" si="3"/>
        <v>390371813</v>
      </c>
      <c r="G88" s="57">
        <f t="shared" si="4"/>
        <v>0.7152811836301594</v>
      </c>
      <c r="H88" s="57"/>
    </row>
    <row r="89" spans="2:8" s="53" customFormat="1" ht="15">
      <c r="B89" s="53" t="s">
        <v>131</v>
      </c>
      <c r="C89" s="58">
        <v>1376762731</v>
      </c>
      <c r="E89" s="58">
        <f>3386462059.5</f>
        <v>3386462059.5</v>
      </c>
      <c r="F89" s="56">
        <f t="shared" si="3"/>
        <v>2009699328.5</v>
      </c>
      <c r="G89" s="57">
        <f t="shared" si="4"/>
        <v>1.459728160305641</v>
      </c>
      <c r="H89" s="57"/>
    </row>
    <row r="90" spans="2:8" s="53" customFormat="1" ht="15">
      <c r="B90" s="53" t="s">
        <v>185</v>
      </c>
      <c r="C90" s="54">
        <v>2050898</v>
      </c>
      <c r="E90" s="58">
        <v>0</v>
      </c>
      <c r="F90" s="56">
        <f>+E90-C90</f>
        <v>-2050898</v>
      </c>
      <c r="G90" s="57">
        <f t="shared" si="4"/>
        <v>-1</v>
      </c>
      <c r="H90" s="57"/>
    </row>
    <row r="91" spans="3:8" s="59" customFormat="1" ht="15">
      <c r="C91" s="58"/>
      <c r="E91" s="60"/>
      <c r="F91" s="61">
        <f t="shared" si="3"/>
        <v>0</v>
      </c>
      <c r="G91" s="62"/>
      <c r="H91" s="62"/>
    </row>
    <row r="92" spans="1:8" s="44" customFormat="1" ht="15">
      <c r="A92" s="44" t="s">
        <v>134</v>
      </c>
      <c r="B92" s="44" t="s">
        <v>135</v>
      </c>
      <c r="C92" s="46">
        <f>+C76-C84</f>
        <v>409751031</v>
      </c>
      <c r="D92" s="47"/>
      <c r="E92" s="47">
        <f>+E76-E84</f>
        <v>369302267.1100006</v>
      </c>
      <c r="F92" s="63">
        <f t="shared" si="3"/>
        <v>-40448763.88999939</v>
      </c>
      <c r="G92" s="64">
        <f t="shared" si="4"/>
        <v>-0.09871546580684354</v>
      </c>
      <c r="H92" s="64"/>
    </row>
    <row r="93" spans="3:8" s="59" customFormat="1" ht="15">
      <c r="C93" s="58"/>
      <c r="E93" s="60"/>
      <c r="F93" s="61">
        <f t="shared" si="3"/>
        <v>0</v>
      </c>
      <c r="G93" s="62"/>
      <c r="H93" s="62"/>
    </row>
    <row r="94" spans="2:9" s="44" customFormat="1" ht="15">
      <c r="B94" s="44" t="s">
        <v>136</v>
      </c>
      <c r="C94" s="46">
        <f>SUM(C95:C135)</f>
        <v>305564701</v>
      </c>
      <c r="D94" s="47"/>
      <c r="E94" s="47">
        <f>SUM(E95:E135)</f>
        <v>433889138.55999994</v>
      </c>
      <c r="F94" s="63">
        <f t="shared" si="3"/>
        <v>128324437.55999994</v>
      </c>
      <c r="G94" s="64">
        <f t="shared" si="4"/>
        <v>0.4199583169785045</v>
      </c>
      <c r="H94" s="64"/>
      <c r="I94" s="63"/>
    </row>
    <row r="95" spans="2:8" s="53" customFormat="1" ht="15">
      <c r="B95" s="53" t="s">
        <v>137</v>
      </c>
      <c r="C95" s="58">
        <v>22418540</v>
      </c>
      <c r="E95" s="58">
        <v>22893000</v>
      </c>
      <c r="F95" s="56">
        <f t="shared" si="3"/>
        <v>474460</v>
      </c>
      <c r="G95" s="57">
        <f t="shared" si="4"/>
        <v>0.021163733231512848</v>
      </c>
      <c r="H95" s="57"/>
    </row>
    <row r="96" spans="2:8" s="53" customFormat="1" ht="15">
      <c r="B96" s="53" t="s">
        <v>138</v>
      </c>
      <c r="C96" s="58">
        <v>5048858</v>
      </c>
      <c r="E96" s="58">
        <v>5564453</v>
      </c>
      <c r="F96" s="56">
        <f t="shared" si="3"/>
        <v>515595</v>
      </c>
      <c r="G96" s="57">
        <f t="shared" si="4"/>
        <v>0.1021211133289944</v>
      </c>
      <c r="H96" s="57"/>
    </row>
    <row r="97" spans="2:8" s="53" customFormat="1" ht="15">
      <c r="B97" s="53" t="s">
        <v>139</v>
      </c>
      <c r="C97" s="58">
        <v>639520</v>
      </c>
      <c r="E97" s="58">
        <v>317280</v>
      </c>
      <c r="F97" s="56">
        <f t="shared" si="3"/>
        <v>-322240</v>
      </c>
      <c r="G97" s="57">
        <f t="shared" si="4"/>
        <v>-0.5038779084313235</v>
      </c>
      <c r="H97" s="57"/>
    </row>
    <row r="98" spans="2:8" s="53" customFormat="1" ht="15">
      <c r="B98" s="53" t="s">
        <v>140</v>
      </c>
      <c r="C98" s="58">
        <v>2478753</v>
      </c>
      <c r="E98" s="58">
        <v>2536448</v>
      </c>
      <c r="F98" s="56">
        <f t="shared" si="3"/>
        <v>57695</v>
      </c>
      <c r="G98" s="57">
        <f t="shared" si="4"/>
        <v>0.02327581650934966</v>
      </c>
      <c r="H98" s="57"/>
    </row>
    <row r="99" spans="2:8" s="53" customFormat="1" ht="15">
      <c r="B99" s="53" t="s">
        <v>141</v>
      </c>
      <c r="C99" s="58">
        <v>274700</v>
      </c>
      <c r="E99" s="58">
        <v>304374</v>
      </c>
      <c r="F99" s="56">
        <f t="shared" si="3"/>
        <v>29674</v>
      </c>
      <c r="G99" s="57">
        <f t="shared" si="4"/>
        <v>0.10802329814342919</v>
      </c>
      <c r="H99" s="57"/>
    </row>
    <row r="100" spans="2:8" s="53" customFormat="1" ht="15">
      <c r="B100" s="53" t="s">
        <v>142</v>
      </c>
      <c r="C100" s="58">
        <v>2135176</v>
      </c>
      <c r="E100" s="58">
        <v>2376965</v>
      </c>
      <c r="F100" s="56">
        <f t="shared" si="3"/>
        <v>241789</v>
      </c>
      <c r="G100" s="57">
        <f t="shared" si="4"/>
        <v>0.11324078202452631</v>
      </c>
      <c r="H100" s="57"/>
    </row>
    <row r="101" spans="2:8" s="53" customFormat="1" ht="15">
      <c r="B101" s="53" t="s">
        <v>143</v>
      </c>
      <c r="C101" s="58">
        <v>1612262</v>
      </c>
      <c r="E101" s="58">
        <v>1083831</v>
      </c>
      <c r="F101" s="56">
        <f t="shared" si="3"/>
        <v>-528431</v>
      </c>
      <c r="G101" s="57">
        <f t="shared" si="4"/>
        <v>-0.3277575232809556</v>
      </c>
      <c r="H101" s="57"/>
    </row>
    <row r="102" spans="2:8" s="53" customFormat="1" ht="15">
      <c r="B102" s="53" t="s">
        <v>144</v>
      </c>
      <c r="C102" s="58">
        <v>1745592</v>
      </c>
      <c r="E102" s="58">
        <v>1907750</v>
      </c>
      <c r="F102" s="56">
        <f t="shared" si="3"/>
        <v>162158</v>
      </c>
      <c r="G102" s="57">
        <f t="shared" si="4"/>
        <v>0.09289570529654123</v>
      </c>
      <c r="H102" s="57"/>
    </row>
    <row r="103" spans="2:8" s="53" customFormat="1" ht="15">
      <c r="B103" s="53" t="s">
        <v>186</v>
      </c>
      <c r="C103" s="58">
        <v>1179000</v>
      </c>
      <c r="E103" s="58">
        <v>932601</v>
      </c>
      <c r="F103" s="56">
        <f t="shared" si="3"/>
        <v>-246399</v>
      </c>
      <c r="G103" s="57">
        <f t="shared" si="4"/>
        <v>-0.20898982188295165</v>
      </c>
      <c r="H103" s="57"/>
    </row>
    <row r="104" spans="2:8" s="53" customFormat="1" ht="15">
      <c r="B104" s="53" t="s">
        <v>145</v>
      </c>
      <c r="C104" s="58">
        <v>1449350</v>
      </c>
      <c r="E104" s="58">
        <v>0</v>
      </c>
      <c r="F104" s="56">
        <f t="shared" si="3"/>
        <v>-1449350</v>
      </c>
      <c r="G104" s="57">
        <f t="shared" si="4"/>
        <v>-1</v>
      </c>
      <c r="H104" s="57"/>
    </row>
    <row r="105" spans="2:8" s="53" customFormat="1" ht="15">
      <c r="B105" s="53" t="s">
        <v>147</v>
      </c>
      <c r="C105" s="58">
        <v>2735597</v>
      </c>
      <c r="E105" s="58">
        <v>2769940</v>
      </c>
      <c r="F105" s="56">
        <f t="shared" si="3"/>
        <v>34343</v>
      </c>
      <c r="G105" s="57">
        <f t="shared" si="4"/>
        <v>0.012554115244314129</v>
      </c>
      <c r="H105" s="57"/>
    </row>
    <row r="106" spans="2:8" s="53" customFormat="1" ht="15">
      <c r="B106" s="53" t="s">
        <v>148</v>
      </c>
      <c r="C106" s="58">
        <v>3721715</v>
      </c>
      <c r="E106" s="58">
        <v>4092460</v>
      </c>
      <c r="F106" s="56">
        <f t="shared" si="3"/>
        <v>370745</v>
      </c>
      <c r="G106" s="57">
        <f t="shared" si="4"/>
        <v>0.09961670896347517</v>
      </c>
      <c r="H106" s="57"/>
    </row>
    <row r="107" spans="2:8" s="53" customFormat="1" ht="15">
      <c r="B107" s="53" t="s">
        <v>149</v>
      </c>
      <c r="C107" s="58">
        <v>322267</v>
      </c>
      <c r="E107" s="58">
        <v>339886.69</v>
      </c>
      <c r="F107" s="56">
        <f t="shared" si="3"/>
        <v>17619.690000000002</v>
      </c>
      <c r="G107" s="57">
        <f t="shared" si="4"/>
        <v>0.05467419872341879</v>
      </c>
      <c r="H107" s="57"/>
    </row>
    <row r="108" spans="2:8" s="53" customFormat="1" ht="15">
      <c r="B108" s="53" t="s">
        <v>150</v>
      </c>
      <c r="C108" s="58">
        <v>1235000</v>
      </c>
      <c r="E108" s="58">
        <v>1304400</v>
      </c>
      <c r="F108" s="56">
        <f t="shared" si="3"/>
        <v>69400</v>
      </c>
      <c r="G108" s="57">
        <f t="shared" si="4"/>
        <v>0.05619433198380567</v>
      </c>
      <c r="H108" s="57"/>
    </row>
    <row r="109" spans="2:8" s="53" customFormat="1" ht="15">
      <c r="B109" s="53" t="s">
        <v>151</v>
      </c>
      <c r="C109" s="58">
        <v>926117</v>
      </c>
      <c r="E109" s="58">
        <v>978200</v>
      </c>
      <c r="F109" s="56">
        <f t="shared" si="3"/>
        <v>52083</v>
      </c>
      <c r="G109" s="57">
        <f t="shared" si="4"/>
        <v>0.05623803471915535</v>
      </c>
      <c r="H109" s="57"/>
    </row>
    <row r="110" spans="2:8" s="53" customFormat="1" ht="15">
      <c r="B110" s="53" t="s">
        <v>152</v>
      </c>
      <c r="C110" s="58">
        <v>617333</v>
      </c>
      <c r="E110" s="58">
        <v>629010</v>
      </c>
      <c r="F110" s="56">
        <f t="shared" si="3"/>
        <v>11677</v>
      </c>
      <c r="G110" s="57">
        <f t="shared" si="4"/>
        <v>0.018915236995268356</v>
      </c>
      <c r="H110" s="57"/>
    </row>
    <row r="111" spans="2:8" s="53" customFormat="1" ht="15">
      <c r="B111" s="53" t="s">
        <v>153</v>
      </c>
      <c r="C111" s="58">
        <v>556695</v>
      </c>
      <c r="E111" s="58">
        <v>471407</v>
      </c>
      <c r="F111" s="56">
        <f t="shared" si="3"/>
        <v>-85288</v>
      </c>
      <c r="G111" s="57">
        <f t="shared" si="4"/>
        <v>-0.15320417823044935</v>
      </c>
      <c r="H111" s="57"/>
    </row>
    <row r="112" spans="2:8" s="53" customFormat="1" ht="15">
      <c r="B112" s="53" t="s">
        <v>154</v>
      </c>
      <c r="C112" s="54">
        <v>281400</v>
      </c>
      <c r="E112" s="58"/>
      <c r="F112" s="56">
        <f t="shared" si="3"/>
        <v>-281400</v>
      </c>
      <c r="G112" s="57">
        <f t="shared" si="4"/>
        <v>-1</v>
      </c>
      <c r="H112" s="57"/>
    </row>
    <row r="113" spans="2:8" s="53" customFormat="1" ht="15">
      <c r="B113" s="53" t="s">
        <v>155</v>
      </c>
      <c r="C113" s="58">
        <v>254455</v>
      </c>
      <c r="E113" s="58">
        <v>396844</v>
      </c>
      <c r="F113" s="56">
        <f t="shared" si="3"/>
        <v>142389</v>
      </c>
      <c r="G113" s="57">
        <f t="shared" si="4"/>
        <v>0.5595842093886935</v>
      </c>
      <c r="H113" s="57"/>
    </row>
    <row r="114" spans="2:8" s="53" customFormat="1" ht="15">
      <c r="B114" s="53" t="s">
        <v>157</v>
      </c>
      <c r="C114" s="58">
        <v>44113805</v>
      </c>
      <c r="E114" s="58">
        <v>51748142</v>
      </c>
      <c r="F114" s="56">
        <f t="shared" si="3"/>
        <v>7634337</v>
      </c>
      <c r="G114" s="57">
        <f t="shared" si="4"/>
        <v>0.17306004322229743</v>
      </c>
      <c r="H114" s="57"/>
    </row>
    <row r="115" spans="2:8" s="53" customFormat="1" ht="15">
      <c r="B115" s="53" t="s">
        <v>158</v>
      </c>
      <c r="C115" s="58">
        <v>2839027</v>
      </c>
      <c r="E115" s="58">
        <v>1806412.5</v>
      </c>
      <c r="F115" s="56">
        <f t="shared" si="3"/>
        <v>-1032614.5</v>
      </c>
      <c r="G115" s="57">
        <f t="shared" si="4"/>
        <v>-0.3637212678850888</v>
      </c>
      <c r="H115" s="57"/>
    </row>
    <row r="116" spans="2:8" s="53" customFormat="1" ht="15">
      <c r="B116" s="53" t="s">
        <v>159</v>
      </c>
      <c r="C116" s="58">
        <v>1733295</v>
      </c>
      <c r="E116" s="58">
        <v>3161513</v>
      </c>
      <c r="F116" s="56">
        <f t="shared" si="3"/>
        <v>1428218</v>
      </c>
      <c r="G116" s="57">
        <f t="shared" si="4"/>
        <v>0.8239901459359197</v>
      </c>
      <c r="H116" s="57"/>
    </row>
    <row r="117" spans="2:8" s="53" customFormat="1" ht="15">
      <c r="B117" s="53" t="s">
        <v>160</v>
      </c>
      <c r="C117" s="58">
        <v>2637250</v>
      </c>
      <c r="E117" s="58">
        <v>2454781.85</v>
      </c>
      <c r="F117" s="56">
        <f t="shared" si="3"/>
        <v>-182468.1499999999</v>
      </c>
      <c r="G117" s="57">
        <f t="shared" si="4"/>
        <v>-0.06918879514645934</v>
      </c>
      <c r="H117" s="57"/>
    </row>
    <row r="118" spans="2:8" s="53" customFormat="1" ht="15">
      <c r="B118" s="53" t="s">
        <v>187</v>
      </c>
      <c r="C118" s="58">
        <v>339500</v>
      </c>
      <c r="E118" s="58">
        <v>250000</v>
      </c>
      <c r="F118" s="56">
        <f t="shared" si="3"/>
        <v>-89500</v>
      </c>
      <c r="G118" s="57">
        <f t="shared" si="4"/>
        <v>-0.26362297496318116</v>
      </c>
      <c r="H118" s="57"/>
    </row>
    <row r="119" spans="2:8" s="53" customFormat="1" ht="15">
      <c r="B119" s="53" t="s">
        <v>161</v>
      </c>
      <c r="C119" s="58">
        <v>83387470</v>
      </c>
      <c r="E119" s="58">
        <v>115599486</v>
      </c>
      <c r="F119" s="56">
        <f t="shared" si="3"/>
        <v>32212016</v>
      </c>
      <c r="G119" s="57">
        <f t="shared" si="4"/>
        <v>0.38629324045926805</v>
      </c>
      <c r="H119" s="57"/>
    </row>
    <row r="120" spans="2:8" s="53" customFormat="1" ht="15">
      <c r="B120" s="53" t="s">
        <v>188</v>
      </c>
      <c r="C120" s="58">
        <v>22813280</v>
      </c>
      <c r="E120" s="58">
        <v>12903680</v>
      </c>
      <c r="F120" s="56">
        <f t="shared" si="3"/>
        <v>-9909600</v>
      </c>
      <c r="G120" s="57">
        <f t="shared" si="4"/>
        <v>-0.43437857248059025</v>
      </c>
      <c r="H120" s="57"/>
    </row>
    <row r="121" spans="2:8" s="53" customFormat="1" ht="15">
      <c r="B121" s="53" t="s">
        <v>162</v>
      </c>
      <c r="C121" s="58">
        <v>160000</v>
      </c>
      <c r="E121" s="58">
        <v>438000</v>
      </c>
      <c r="F121" s="56">
        <f t="shared" si="3"/>
        <v>278000</v>
      </c>
      <c r="G121" s="57">
        <f t="shared" si="4"/>
        <v>1.7375</v>
      </c>
      <c r="H121" s="57"/>
    </row>
    <row r="122" spans="2:8" s="53" customFormat="1" ht="15">
      <c r="B122" s="53" t="s">
        <v>163</v>
      </c>
      <c r="C122" s="58">
        <v>46991319</v>
      </c>
      <c r="E122" s="58">
        <v>44834255</v>
      </c>
      <c r="F122" s="56">
        <f t="shared" si="3"/>
        <v>-2157064</v>
      </c>
      <c r="G122" s="57">
        <f t="shared" si="4"/>
        <v>-0.045903457189614104</v>
      </c>
      <c r="H122" s="57"/>
    </row>
    <row r="123" spans="2:8" s="53" customFormat="1" ht="15.75" customHeight="1">
      <c r="B123" s="53" t="s">
        <v>189</v>
      </c>
      <c r="C123" s="58">
        <v>703900</v>
      </c>
      <c r="E123" s="58">
        <v>3911650</v>
      </c>
      <c r="F123" s="56">
        <f t="shared" si="3"/>
        <v>3207750</v>
      </c>
      <c r="G123" s="57">
        <f t="shared" si="4"/>
        <v>4.557110384997869</v>
      </c>
      <c r="H123" s="57"/>
    </row>
    <row r="124" spans="2:8" s="53" customFormat="1" ht="15">
      <c r="B124" s="53" t="s">
        <v>190</v>
      </c>
      <c r="C124" s="58">
        <v>196500</v>
      </c>
      <c r="E124" s="58">
        <v>87000</v>
      </c>
      <c r="F124" s="56">
        <f t="shared" si="3"/>
        <v>-109500</v>
      </c>
      <c r="G124" s="57">
        <f t="shared" si="4"/>
        <v>-0.5572519083969466</v>
      </c>
      <c r="H124" s="57"/>
    </row>
    <row r="125" spans="2:8" s="53" customFormat="1" ht="15">
      <c r="B125" s="53" t="s">
        <v>165</v>
      </c>
      <c r="C125" s="58">
        <v>864100</v>
      </c>
      <c r="E125" s="58">
        <v>1258802</v>
      </c>
      <c r="F125" s="56">
        <f t="shared" si="3"/>
        <v>394702</v>
      </c>
      <c r="G125" s="57">
        <f t="shared" si="4"/>
        <v>0.456778150677005</v>
      </c>
      <c r="H125" s="57"/>
    </row>
    <row r="126" spans="2:8" s="53" customFormat="1" ht="15">
      <c r="B126" s="53" t="s">
        <v>191</v>
      </c>
      <c r="C126" s="58">
        <f>5002508+782129</f>
        <v>5784637</v>
      </c>
      <c r="E126" s="58">
        <f>5868930+668000</f>
        <v>6536930</v>
      </c>
      <c r="F126" s="56">
        <f t="shared" si="3"/>
        <v>752293</v>
      </c>
      <c r="G126" s="57">
        <f t="shared" si="4"/>
        <v>0.13005016563701405</v>
      </c>
      <c r="H126" s="57"/>
    </row>
    <row r="127" spans="2:8" s="53" customFormat="1" ht="15">
      <c r="B127" s="53" t="s">
        <v>192</v>
      </c>
      <c r="C127" s="58">
        <v>644000</v>
      </c>
      <c r="E127" s="55">
        <v>857199</v>
      </c>
      <c r="F127" s="56">
        <f t="shared" si="3"/>
        <v>213199</v>
      </c>
      <c r="G127" s="57">
        <f t="shared" si="4"/>
        <v>0.33105434782608695</v>
      </c>
      <c r="H127" s="57"/>
    </row>
    <row r="128" spans="2:8" s="53" customFormat="1" ht="15">
      <c r="B128" s="53" t="s">
        <v>167</v>
      </c>
      <c r="C128" s="58">
        <v>6816216</v>
      </c>
      <c r="E128" s="58">
        <v>9170962.52</v>
      </c>
      <c r="F128" s="56">
        <f t="shared" si="3"/>
        <v>2354746.5199999996</v>
      </c>
      <c r="G128" s="57">
        <f t="shared" si="4"/>
        <v>0.34546242666018795</v>
      </c>
      <c r="H128" s="57"/>
    </row>
    <row r="129" spans="2:8" s="53" customFormat="1" ht="15">
      <c r="B129" s="53" t="s">
        <v>60</v>
      </c>
      <c r="C129" s="69">
        <v>14379860</v>
      </c>
      <c r="E129" s="58">
        <f>11223649+'[1]RESUMEN INFORME AUDITORIA '!D14</f>
        <v>11223649</v>
      </c>
      <c r="F129" s="56">
        <f t="shared" si="3"/>
        <v>-3156211</v>
      </c>
      <c r="G129" s="57">
        <f t="shared" si="4"/>
        <v>-0.21948829821708973</v>
      </c>
      <c r="H129" s="57"/>
    </row>
    <row r="130" spans="2:8" s="53" customFormat="1" ht="15">
      <c r="B130" s="53" t="s">
        <v>168</v>
      </c>
      <c r="C130" s="54">
        <v>8818478</v>
      </c>
      <c r="E130" s="55">
        <v>12832554</v>
      </c>
      <c r="F130" s="56">
        <f t="shared" si="3"/>
        <v>4014076</v>
      </c>
      <c r="G130" s="57">
        <f t="shared" si="4"/>
        <v>0.4551892061192419</v>
      </c>
      <c r="H130" s="57"/>
    </row>
    <row r="131" spans="2:8" s="53" customFormat="1" ht="15">
      <c r="B131" s="53" t="s">
        <v>172</v>
      </c>
      <c r="C131" s="58">
        <v>0</v>
      </c>
      <c r="E131" s="58">
        <v>1612325</v>
      </c>
      <c r="F131" s="56">
        <f t="shared" si="3"/>
        <v>1612325</v>
      </c>
      <c r="G131" s="57" t="e">
        <f t="shared" si="4"/>
        <v>#DIV/0!</v>
      </c>
      <c r="H131" s="57"/>
    </row>
    <row r="132" spans="2:8" s="53" customFormat="1" ht="15">
      <c r="B132" s="53" t="s">
        <v>193</v>
      </c>
      <c r="C132" s="58">
        <v>362800</v>
      </c>
      <c r="E132" s="58">
        <v>522086</v>
      </c>
      <c r="F132" s="56">
        <f t="shared" si="3"/>
        <v>159286</v>
      </c>
      <c r="G132" s="57">
        <f t="shared" si="4"/>
        <v>0.4390463065049614</v>
      </c>
      <c r="H132" s="57"/>
    </row>
    <row r="133" spans="2:8" s="53" customFormat="1" ht="15">
      <c r="B133" s="53" t="s">
        <v>173</v>
      </c>
      <c r="C133" s="58">
        <v>0</v>
      </c>
      <c r="E133" s="58">
        <f>39055211.5+39055211.5+11487172</f>
        <v>89597595</v>
      </c>
      <c r="F133" s="56"/>
      <c r="G133" s="57"/>
      <c r="H133" s="57"/>
    </row>
    <row r="134" spans="2:8" s="53" customFormat="1" ht="15">
      <c r="B134" s="53" t="s">
        <v>169</v>
      </c>
      <c r="C134" s="58">
        <v>148950</v>
      </c>
      <c r="E134" s="58">
        <v>1153214</v>
      </c>
      <c r="F134" s="56">
        <f t="shared" si="3"/>
        <v>1004264</v>
      </c>
      <c r="G134" s="57">
        <f t="shared" si="4"/>
        <v>6.74228935884525</v>
      </c>
      <c r="H134" s="57"/>
    </row>
    <row r="135" spans="2:8" s="53" customFormat="1" ht="15">
      <c r="B135" s="53" t="s">
        <v>171</v>
      </c>
      <c r="C135" s="58">
        <v>12197984</v>
      </c>
      <c r="E135" s="58">
        <v>13030052</v>
      </c>
      <c r="F135" s="56">
        <f t="shared" si="3"/>
        <v>832068</v>
      </c>
      <c r="G135" s="57">
        <f t="shared" si="4"/>
        <v>0.06821356709436575</v>
      </c>
      <c r="H135" s="57"/>
    </row>
    <row r="136" spans="3:8" s="53" customFormat="1" ht="15">
      <c r="C136" s="58"/>
      <c r="E136" s="58"/>
      <c r="F136" s="56"/>
      <c r="G136" s="57"/>
      <c r="H136" s="57"/>
    </row>
    <row r="137" spans="1:8" s="44" customFormat="1" ht="15">
      <c r="A137" s="44" t="s">
        <v>176</v>
      </c>
      <c r="B137" s="44" t="s">
        <v>177</v>
      </c>
      <c r="C137" s="46">
        <f>+C92-C94</f>
        <v>104186330</v>
      </c>
      <c r="D137" s="47"/>
      <c r="E137" s="47">
        <f>+E92-E94</f>
        <v>-64586871.44999933</v>
      </c>
      <c r="F137" s="63">
        <f t="shared" si="3"/>
        <v>-168773201.44999933</v>
      </c>
      <c r="G137" s="64">
        <f t="shared" si="4"/>
        <v>-1.619916945438037</v>
      </c>
      <c r="H137" s="64"/>
    </row>
    <row r="138" spans="3:8" s="44" customFormat="1" ht="15">
      <c r="C138" s="58"/>
      <c r="E138" s="47"/>
      <c r="F138" s="63"/>
      <c r="G138" s="64"/>
      <c r="H138" s="64"/>
    </row>
    <row r="139" spans="1:9" s="50" customFormat="1" ht="15">
      <c r="A139" s="50" t="s">
        <v>178</v>
      </c>
      <c r="B139" s="50" t="s">
        <v>179</v>
      </c>
      <c r="C139" s="46">
        <f>SUM(C140)</f>
        <v>45195000</v>
      </c>
      <c r="D139" s="46"/>
      <c r="E139" s="46">
        <f>SUM(E140)</f>
        <v>54311809</v>
      </c>
      <c r="F139" s="56">
        <f>+E139-C139</f>
        <v>9116809</v>
      </c>
      <c r="G139" s="57">
        <f>+F139/C139</f>
        <v>0.20172162849872774</v>
      </c>
      <c r="H139" s="57"/>
      <c r="I139" s="70">
        <f>+E139+E150+E66</f>
        <v>297886420.08</v>
      </c>
    </row>
    <row r="140" spans="2:8" s="53" customFormat="1" ht="15">
      <c r="B140" s="53" t="s">
        <v>194</v>
      </c>
      <c r="C140" s="54">
        <v>45195000</v>
      </c>
      <c r="E140" s="55">
        <v>54311809</v>
      </c>
      <c r="F140" s="56">
        <f>+E140-C140</f>
        <v>9116809</v>
      </c>
      <c r="G140" s="57">
        <f>+F140/C140</f>
        <v>0.20172162849872774</v>
      </c>
      <c r="H140" s="57"/>
    </row>
    <row r="141" spans="1:9" s="50" customFormat="1" ht="15">
      <c r="A141" s="50" t="s">
        <v>132</v>
      </c>
      <c r="B141" s="50" t="s">
        <v>180</v>
      </c>
      <c r="C141" s="46">
        <f>SUM(C142:C144)</f>
        <v>52273398</v>
      </c>
      <c r="D141" s="46"/>
      <c r="E141" s="46">
        <f>SUM(E142:E144)</f>
        <v>31214397</v>
      </c>
      <c r="F141" s="51">
        <f t="shared" si="3"/>
        <v>-21059001</v>
      </c>
      <c r="G141" s="52">
        <f t="shared" si="4"/>
        <v>-0.4028626759637856</v>
      </c>
      <c r="H141" s="52"/>
      <c r="I141" s="70"/>
    </row>
    <row r="142" spans="2:8" s="53" customFormat="1" ht="15">
      <c r="B142" s="53" t="s">
        <v>195</v>
      </c>
      <c r="C142" s="58">
        <v>24036280</v>
      </c>
      <c r="E142" s="58">
        <v>7186227</v>
      </c>
      <c r="F142" s="56">
        <f t="shared" si="3"/>
        <v>-16850053</v>
      </c>
      <c r="G142" s="57">
        <f t="shared" si="4"/>
        <v>-0.7010258242956064</v>
      </c>
      <c r="H142" s="57"/>
    </row>
    <row r="143" spans="2:8" s="53" customFormat="1" ht="15">
      <c r="B143" s="53" t="s">
        <v>196</v>
      </c>
      <c r="C143" s="58">
        <v>2578217</v>
      </c>
      <c r="E143" s="58">
        <v>8336061</v>
      </c>
      <c r="F143" s="56">
        <f t="shared" si="3"/>
        <v>5757844</v>
      </c>
      <c r="G143" s="57">
        <f t="shared" si="4"/>
        <v>2.233265857761391</v>
      </c>
      <c r="H143" s="57"/>
    </row>
    <row r="144" spans="2:8" s="53" customFormat="1" ht="15">
      <c r="B144" s="53" t="s">
        <v>197</v>
      </c>
      <c r="C144" s="58">
        <v>25658901</v>
      </c>
      <c r="E144" s="8">
        <v>15692109</v>
      </c>
      <c r="F144" s="56">
        <f t="shared" si="3"/>
        <v>-9966792</v>
      </c>
      <c r="G144" s="57">
        <f t="shared" si="4"/>
        <v>-0.38843409544313684</v>
      </c>
      <c r="H144" s="57"/>
    </row>
    <row r="145" spans="3:8" s="53" customFormat="1" ht="15">
      <c r="C145" s="58"/>
      <c r="E145" s="58"/>
      <c r="F145" s="56"/>
      <c r="G145" s="57"/>
      <c r="H145" s="57"/>
    </row>
    <row r="146" spans="1:8" s="44" customFormat="1" ht="15">
      <c r="A146" s="44" t="s">
        <v>134</v>
      </c>
      <c r="B146" s="44" t="s">
        <v>182</v>
      </c>
      <c r="C146" s="46">
        <f>+C137+C139-C141</f>
        <v>97107932</v>
      </c>
      <c r="D146" s="47"/>
      <c r="E146" s="47">
        <f>+E137+E139-E141</f>
        <v>-41489459.44999933</v>
      </c>
      <c r="F146" s="63">
        <f t="shared" si="3"/>
        <v>-138597391.44999933</v>
      </c>
      <c r="G146" s="64">
        <f t="shared" si="4"/>
        <v>-1.4272509834726923</v>
      </c>
      <c r="H146" s="64"/>
    </row>
    <row r="147" spans="3:8" s="59" customFormat="1" ht="15">
      <c r="C147" s="58"/>
      <c r="E147" s="60"/>
      <c r="F147" s="61"/>
      <c r="G147" s="62"/>
      <c r="H147" s="62"/>
    </row>
    <row r="148" spans="2:8" s="44" customFormat="1" ht="15">
      <c r="B148" s="44" t="s">
        <v>198</v>
      </c>
      <c r="C148" s="58"/>
      <c r="E148" s="47"/>
      <c r="F148" s="63"/>
      <c r="G148" s="64"/>
      <c r="H148" s="64"/>
    </row>
    <row r="149" spans="3:8" s="44" customFormat="1" ht="15">
      <c r="C149" s="58"/>
      <c r="E149" s="47"/>
      <c r="F149" s="63"/>
      <c r="G149" s="64"/>
      <c r="H149" s="64"/>
    </row>
    <row r="150" spans="2:9" s="44" customFormat="1" ht="15">
      <c r="B150" s="44" t="s">
        <v>199</v>
      </c>
      <c r="C150" s="46">
        <f>SUM(C152:C158)</f>
        <v>36241585</v>
      </c>
      <c r="D150" s="47"/>
      <c r="E150" s="47">
        <f>SUM(E151:E158)</f>
        <v>191259431.07999998</v>
      </c>
      <c r="F150" s="63">
        <f aca="true" t="shared" si="5" ref="F150:F225">+E150-C150</f>
        <v>155017846.07999998</v>
      </c>
      <c r="G150" s="64">
        <f aca="true" t="shared" si="6" ref="G150:G225">+F150/C150</f>
        <v>4.277347309175357</v>
      </c>
      <c r="H150" s="64"/>
      <c r="I150" s="63"/>
    </row>
    <row r="151" spans="2:8" s="59" customFormat="1" ht="15">
      <c r="B151" s="71" t="s">
        <v>200</v>
      </c>
      <c r="C151" s="59">
        <v>0</v>
      </c>
      <c r="E151" s="55">
        <v>300000</v>
      </c>
      <c r="F151" s="56">
        <f t="shared" si="5"/>
        <v>300000</v>
      </c>
      <c r="G151" s="57" t="e">
        <f t="shared" si="6"/>
        <v>#DIV/0!</v>
      </c>
      <c r="H151" s="57"/>
    </row>
    <row r="152" spans="2:8" s="59" customFormat="1" ht="15">
      <c r="B152" s="71" t="s">
        <v>201</v>
      </c>
      <c r="C152" s="58">
        <v>14782491</v>
      </c>
      <c r="E152" s="60">
        <v>28740497</v>
      </c>
      <c r="F152" s="56">
        <f t="shared" si="5"/>
        <v>13958006</v>
      </c>
      <c r="G152" s="57">
        <f t="shared" si="6"/>
        <v>0.9442255706429992</v>
      </c>
      <c r="H152" s="57"/>
    </row>
    <row r="153" spans="2:8" s="59" customFormat="1" ht="15">
      <c r="B153" s="71" t="s">
        <v>202</v>
      </c>
      <c r="C153" s="58">
        <v>0</v>
      </c>
      <c r="E153" s="60">
        <v>70000</v>
      </c>
      <c r="F153" s="56">
        <f t="shared" si="5"/>
        <v>70000</v>
      </c>
      <c r="G153" s="57" t="e">
        <f t="shared" si="6"/>
        <v>#DIV/0!</v>
      </c>
      <c r="H153" s="57"/>
    </row>
    <row r="154" spans="2:8" s="59" customFormat="1" ht="15">
      <c r="B154" s="71" t="str">
        <f>+'[2]GASTOS ADMON'!G20</f>
        <v>  OTROS</v>
      </c>
      <c r="C154" s="54">
        <v>950778</v>
      </c>
      <c r="E154" s="6">
        <f>10663771.08+654</f>
        <v>10664425.08</v>
      </c>
      <c r="F154" s="56">
        <f t="shared" si="5"/>
        <v>9713647.08</v>
      </c>
      <c r="G154" s="57">
        <f t="shared" si="6"/>
        <v>10.216524867003654</v>
      </c>
      <c r="H154" s="57"/>
    </row>
    <row r="155" spans="2:8" s="59" customFormat="1" ht="15">
      <c r="B155" s="71" t="s">
        <v>60</v>
      </c>
      <c r="C155" s="58">
        <v>20263316</v>
      </c>
      <c r="E155" s="60">
        <v>26597509</v>
      </c>
      <c r="F155" s="56">
        <f t="shared" si="5"/>
        <v>6334193</v>
      </c>
      <c r="G155" s="57">
        <f t="shared" si="6"/>
        <v>0.3125940986164357</v>
      </c>
      <c r="H155" s="57"/>
    </row>
    <row r="156" spans="2:8" s="59" customFormat="1" ht="15">
      <c r="B156" s="72" t="s">
        <v>192</v>
      </c>
      <c r="C156" s="58">
        <v>245000</v>
      </c>
      <c r="D156" s="53"/>
      <c r="E156" s="58"/>
      <c r="F156" s="56">
        <f t="shared" si="5"/>
        <v>-245000</v>
      </c>
      <c r="G156" s="57">
        <f t="shared" si="6"/>
        <v>-1</v>
      </c>
      <c r="H156" s="57"/>
    </row>
    <row r="157" spans="2:8" s="59" customFormat="1" ht="15">
      <c r="B157" s="72" t="s">
        <v>203</v>
      </c>
      <c r="C157" s="58">
        <v>0</v>
      </c>
      <c r="E157" s="55">
        <v>48000</v>
      </c>
      <c r="F157" s="56">
        <f t="shared" si="5"/>
        <v>48000</v>
      </c>
      <c r="G157" s="57" t="e">
        <f t="shared" si="6"/>
        <v>#DIV/0!</v>
      </c>
      <c r="H157" s="57"/>
    </row>
    <row r="158" spans="2:8" s="53" customFormat="1" ht="15">
      <c r="B158" s="71" t="s">
        <v>204</v>
      </c>
      <c r="C158" s="73">
        <v>0</v>
      </c>
      <c r="D158" s="71"/>
      <c r="E158" s="55">
        <v>124839000</v>
      </c>
      <c r="F158" s="56">
        <f t="shared" si="5"/>
        <v>124839000</v>
      </c>
      <c r="G158" s="57" t="e">
        <f t="shared" si="6"/>
        <v>#DIV/0!</v>
      </c>
      <c r="H158" s="57"/>
    </row>
    <row r="159" spans="3:8" s="59" customFormat="1" ht="15">
      <c r="C159" s="58"/>
      <c r="E159" s="60"/>
      <c r="F159" s="61"/>
      <c r="G159" s="62"/>
      <c r="H159" s="62"/>
    </row>
    <row r="160" spans="1:8" s="44" customFormat="1" ht="15">
      <c r="A160" s="44" t="s">
        <v>205</v>
      </c>
      <c r="B160" s="44" t="s">
        <v>206</v>
      </c>
      <c r="C160" s="46">
        <f>SUM(C161:C213)</f>
        <v>481535487.38</v>
      </c>
      <c r="D160" s="47"/>
      <c r="E160" s="47">
        <f>SUM(E161:E215)</f>
        <v>693129354.19</v>
      </c>
      <c r="F160" s="63">
        <f t="shared" si="5"/>
        <v>211593866.81000006</v>
      </c>
      <c r="G160" s="64">
        <f t="shared" si="6"/>
        <v>0.43941489745909923</v>
      </c>
      <c r="H160" s="64"/>
    </row>
    <row r="161" spans="2:8" s="53" customFormat="1" ht="15">
      <c r="B161" s="53" t="s">
        <v>137</v>
      </c>
      <c r="C161" s="54">
        <v>84785633</v>
      </c>
      <c r="E161" s="55">
        <v>94051200</v>
      </c>
      <c r="F161" s="56">
        <f t="shared" si="5"/>
        <v>9265567</v>
      </c>
      <c r="G161" s="57">
        <f t="shared" si="6"/>
        <v>0.1092822766328819</v>
      </c>
      <c r="H161" s="57"/>
    </row>
    <row r="162" spans="2:8" s="53" customFormat="1" ht="15">
      <c r="B162" s="53" t="s">
        <v>138</v>
      </c>
      <c r="C162" s="54">
        <v>488856</v>
      </c>
      <c r="E162" s="55">
        <v>297267</v>
      </c>
      <c r="F162" s="56">
        <f t="shared" si="5"/>
        <v>-191589</v>
      </c>
      <c r="G162" s="57">
        <v>1</v>
      </c>
      <c r="H162" s="57"/>
    </row>
    <row r="163" spans="2:8" s="53" customFormat="1" ht="15">
      <c r="B163" s="53" t="s">
        <v>139</v>
      </c>
      <c r="C163" s="54">
        <v>1683220</v>
      </c>
      <c r="E163" s="55">
        <v>903560</v>
      </c>
      <c r="F163" s="56">
        <f t="shared" si="5"/>
        <v>-779660</v>
      </c>
      <c r="G163" s="57">
        <f t="shared" si="6"/>
        <v>-0.46319554187806705</v>
      </c>
      <c r="H163" s="57"/>
    </row>
    <row r="164" spans="2:8" s="53" customFormat="1" ht="15">
      <c r="B164" s="53" t="s">
        <v>140</v>
      </c>
      <c r="C164" s="54">
        <v>8707838</v>
      </c>
      <c r="E164" s="55">
        <v>8997495</v>
      </c>
      <c r="F164" s="56">
        <f t="shared" si="5"/>
        <v>289657</v>
      </c>
      <c r="G164" s="57">
        <f t="shared" si="6"/>
        <v>0.033263939912524784</v>
      </c>
      <c r="H164" s="57"/>
    </row>
    <row r="165" spans="2:8" s="53" customFormat="1" ht="15">
      <c r="B165" s="53" t="s">
        <v>141</v>
      </c>
      <c r="C165" s="54">
        <v>887067</v>
      </c>
      <c r="E165" s="55">
        <v>1024142</v>
      </c>
      <c r="F165" s="56">
        <f t="shared" si="5"/>
        <v>137075</v>
      </c>
      <c r="G165" s="57">
        <f t="shared" si="6"/>
        <v>0.1545260955485888</v>
      </c>
      <c r="H165" s="57"/>
    </row>
    <row r="166" spans="2:8" s="53" customFormat="1" ht="15">
      <c r="B166" s="53" t="s">
        <v>142</v>
      </c>
      <c r="C166" s="54">
        <v>7042708</v>
      </c>
      <c r="E166" s="55">
        <v>8006526</v>
      </c>
      <c r="F166" s="56">
        <f t="shared" si="5"/>
        <v>963818</v>
      </c>
      <c r="G166" s="57">
        <f t="shared" si="6"/>
        <v>0.13685332403388015</v>
      </c>
      <c r="H166" s="57"/>
    </row>
    <row r="167" spans="2:8" s="53" customFormat="1" ht="15">
      <c r="B167" s="53" t="s">
        <v>143</v>
      </c>
      <c r="C167" s="54">
        <v>4881683</v>
      </c>
      <c r="E167" s="55">
        <v>5001139</v>
      </c>
      <c r="F167" s="56">
        <f t="shared" si="5"/>
        <v>119456</v>
      </c>
      <c r="G167" s="57">
        <f t="shared" si="6"/>
        <v>0.02447024929721983</v>
      </c>
      <c r="H167" s="57"/>
    </row>
    <row r="168" spans="2:8" s="53" customFormat="1" ht="15">
      <c r="B168" s="53" t="s">
        <v>144</v>
      </c>
      <c r="C168" s="54">
        <v>7464299</v>
      </c>
      <c r="E168" s="55">
        <v>7853300</v>
      </c>
      <c r="F168" s="56">
        <f t="shared" si="5"/>
        <v>389001</v>
      </c>
      <c r="G168" s="57">
        <f t="shared" si="6"/>
        <v>0.052114873747688834</v>
      </c>
      <c r="H168" s="57"/>
    </row>
    <row r="169" spans="2:8" s="53" customFormat="1" ht="15">
      <c r="B169" s="53" t="s">
        <v>207</v>
      </c>
      <c r="C169" s="54">
        <v>589500</v>
      </c>
      <c r="E169" s="55">
        <v>2053266</v>
      </c>
      <c r="F169" s="56">
        <f t="shared" si="5"/>
        <v>1463766</v>
      </c>
      <c r="G169" s="57">
        <v>1</v>
      </c>
      <c r="H169" s="57"/>
    </row>
    <row r="170" spans="2:8" s="53" customFormat="1" ht="15">
      <c r="B170" s="53" t="s">
        <v>208</v>
      </c>
      <c r="C170" s="54">
        <v>6553600</v>
      </c>
      <c r="E170" s="8">
        <v>0</v>
      </c>
      <c r="F170" s="56">
        <f t="shared" si="5"/>
        <v>-6553600</v>
      </c>
      <c r="G170" s="57">
        <v>1</v>
      </c>
      <c r="H170" s="57"/>
    </row>
    <row r="171" spans="2:8" s="53" customFormat="1" ht="15">
      <c r="B171" s="53" t="s">
        <v>209</v>
      </c>
      <c r="C171" s="54"/>
      <c r="E171" s="58">
        <v>0</v>
      </c>
      <c r="F171" s="56">
        <f t="shared" si="5"/>
        <v>0</v>
      </c>
      <c r="G171" s="57">
        <v>1</v>
      </c>
      <c r="H171" s="57"/>
    </row>
    <row r="172" spans="2:8" s="53" customFormat="1" ht="15">
      <c r="B172" s="53" t="s">
        <v>147</v>
      </c>
      <c r="C172" s="58">
        <f>182821+8809668</f>
        <v>8992489</v>
      </c>
      <c r="E172" s="58">
        <v>9453849</v>
      </c>
      <c r="F172" s="56">
        <f t="shared" si="5"/>
        <v>461360</v>
      </c>
      <c r="G172" s="57">
        <v>1</v>
      </c>
      <c r="H172" s="57"/>
    </row>
    <row r="173" spans="2:8" s="53" customFormat="1" ht="15">
      <c r="B173" s="53" t="s">
        <v>148</v>
      </c>
      <c r="C173" s="58">
        <v>11396922</v>
      </c>
      <c r="E173" s="58">
        <v>13274012</v>
      </c>
      <c r="F173" s="56">
        <f t="shared" si="5"/>
        <v>1877090</v>
      </c>
      <c r="G173" s="57">
        <f t="shared" si="6"/>
        <v>0.1647014869453349</v>
      </c>
      <c r="H173" s="57"/>
    </row>
    <row r="174" spans="2:8" s="53" customFormat="1" ht="15">
      <c r="B174" s="53" t="s">
        <v>149</v>
      </c>
      <c r="C174" s="54">
        <v>1081800</v>
      </c>
      <c r="E174" s="55">
        <v>1134900</v>
      </c>
      <c r="F174" s="56">
        <f t="shared" si="5"/>
        <v>53100</v>
      </c>
      <c r="G174" s="57">
        <f t="shared" si="6"/>
        <v>0.04908485856905158</v>
      </c>
      <c r="H174" s="57"/>
    </row>
    <row r="175" spans="2:8" s="53" customFormat="1" ht="15">
      <c r="B175" s="53" t="s">
        <v>150</v>
      </c>
      <c r="C175" s="54">
        <v>4145900</v>
      </c>
      <c r="E175" s="55">
        <v>4346900</v>
      </c>
      <c r="F175" s="56">
        <f t="shared" si="5"/>
        <v>201000</v>
      </c>
      <c r="G175" s="57">
        <f t="shared" si="6"/>
        <v>0.04848163245616151</v>
      </c>
      <c r="H175" s="57"/>
    </row>
    <row r="176" spans="2:8" s="53" customFormat="1" ht="15">
      <c r="B176" s="53" t="s">
        <v>151</v>
      </c>
      <c r="C176" s="54">
        <v>3109300</v>
      </c>
      <c r="E176" s="55">
        <v>3260300</v>
      </c>
      <c r="F176" s="56">
        <f t="shared" si="5"/>
        <v>151000</v>
      </c>
      <c r="G176" s="57">
        <f t="shared" si="6"/>
        <v>0.04856398546296594</v>
      </c>
      <c r="H176" s="57"/>
    </row>
    <row r="177" spans="2:8" s="53" customFormat="1" ht="15">
      <c r="B177" s="53" t="s">
        <v>152</v>
      </c>
      <c r="C177" s="54">
        <v>2072700</v>
      </c>
      <c r="E177" s="55">
        <v>2173200</v>
      </c>
      <c r="F177" s="56">
        <f t="shared" si="5"/>
        <v>100500</v>
      </c>
      <c r="G177" s="57">
        <f t="shared" si="6"/>
        <v>0.048487480098422346</v>
      </c>
      <c r="H177" s="57"/>
    </row>
    <row r="178" spans="2:8" s="53" customFormat="1" ht="15">
      <c r="B178" s="53" t="s">
        <v>210</v>
      </c>
      <c r="C178" s="54">
        <v>471600</v>
      </c>
      <c r="E178" s="55">
        <v>630267</v>
      </c>
      <c r="F178" s="56">
        <f t="shared" si="5"/>
        <v>158667</v>
      </c>
      <c r="G178" s="57">
        <f t="shared" si="6"/>
        <v>0.3364440203562341</v>
      </c>
      <c r="H178" s="57"/>
    </row>
    <row r="179" spans="2:8" s="53" customFormat="1" ht="15">
      <c r="B179" s="53" t="s">
        <v>153</v>
      </c>
      <c r="C179" s="54">
        <v>3363216</v>
      </c>
      <c r="E179" s="58">
        <v>3788213</v>
      </c>
      <c r="F179" s="56">
        <f t="shared" si="5"/>
        <v>424997</v>
      </c>
      <c r="G179" s="57">
        <f t="shared" si="6"/>
        <v>0.12636625182563355</v>
      </c>
      <c r="H179" s="57"/>
    </row>
    <row r="180" spans="2:8" s="53" customFormat="1" ht="15">
      <c r="B180" s="53" t="s">
        <v>211</v>
      </c>
      <c r="C180" s="58">
        <f>94921201</f>
        <v>94921201</v>
      </c>
      <c r="E180" s="58">
        <v>90382871</v>
      </c>
      <c r="F180" s="56">
        <f t="shared" si="5"/>
        <v>-4538330</v>
      </c>
      <c r="G180" s="57">
        <f t="shared" si="6"/>
        <v>-0.047811552658293906</v>
      </c>
      <c r="H180" s="57"/>
    </row>
    <row r="181" spans="2:8" s="53" customFormat="1" ht="15">
      <c r="B181" s="53" t="s">
        <v>175</v>
      </c>
      <c r="C181" s="54">
        <v>2108630</v>
      </c>
      <c r="E181" s="55">
        <v>0</v>
      </c>
      <c r="F181" s="56">
        <f t="shared" si="5"/>
        <v>-2108630</v>
      </c>
      <c r="G181" s="57">
        <f t="shared" si="6"/>
        <v>-1</v>
      </c>
      <c r="H181" s="57"/>
    </row>
    <row r="182" spans="2:8" s="53" customFormat="1" ht="15">
      <c r="B182" s="53" t="s">
        <v>157</v>
      </c>
      <c r="C182" s="58">
        <v>11084280</v>
      </c>
      <c r="E182" s="58">
        <f>8389638+515823</f>
        <v>8905461</v>
      </c>
      <c r="F182" s="56">
        <f t="shared" si="5"/>
        <v>-2178819</v>
      </c>
      <c r="G182" s="57">
        <f t="shared" si="6"/>
        <v>-0.19656838333207027</v>
      </c>
      <c r="H182" s="57"/>
    </row>
    <row r="183" spans="2:8" s="53" customFormat="1" ht="15">
      <c r="B183" s="53" t="s">
        <v>189</v>
      </c>
      <c r="C183" s="54">
        <v>11418472</v>
      </c>
      <c r="E183" s="55">
        <v>8414770</v>
      </c>
      <c r="F183" s="56">
        <f t="shared" si="5"/>
        <v>-3003702</v>
      </c>
      <c r="G183" s="57">
        <f t="shared" si="6"/>
        <v>-0.26305638793001374</v>
      </c>
      <c r="H183" s="57"/>
    </row>
    <row r="184" spans="2:8" s="53" customFormat="1" ht="15">
      <c r="B184" s="53" t="s">
        <v>165</v>
      </c>
      <c r="C184" s="54">
        <v>305400</v>
      </c>
      <c r="E184" s="55">
        <v>80000</v>
      </c>
      <c r="F184" s="56">
        <f t="shared" si="5"/>
        <v>-225400</v>
      </c>
      <c r="G184" s="57">
        <f t="shared" si="6"/>
        <v>-0.7380484610347086</v>
      </c>
      <c r="H184" s="57"/>
    </row>
    <row r="185" spans="2:8" s="53" customFormat="1" ht="15">
      <c r="B185" s="53" t="s">
        <v>193</v>
      </c>
      <c r="C185" s="54">
        <v>7145012</v>
      </c>
      <c r="E185" s="55">
        <v>7592419</v>
      </c>
      <c r="F185" s="56">
        <f t="shared" si="5"/>
        <v>447407</v>
      </c>
      <c r="G185" s="57">
        <f t="shared" si="6"/>
        <v>0.06261808937479742</v>
      </c>
      <c r="H185" s="57"/>
    </row>
    <row r="186" spans="2:8" s="53" customFormat="1" ht="15">
      <c r="B186" s="53" t="s">
        <v>212</v>
      </c>
      <c r="C186" s="54">
        <v>5974758</v>
      </c>
      <c r="E186" s="55">
        <v>5800683</v>
      </c>
      <c r="F186" s="56">
        <f t="shared" si="5"/>
        <v>-174075</v>
      </c>
      <c r="G186" s="57">
        <f t="shared" si="6"/>
        <v>-0.029135071244726564</v>
      </c>
      <c r="H186" s="57"/>
    </row>
    <row r="187" spans="2:8" s="53" customFormat="1" ht="15">
      <c r="B187" s="53" t="s">
        <v>158</v>
      </c>
      <c r="C187" s="54">
        <v>339600</v>
      </c>
      <c r="E187" s="55">
        <v>359000</v>
      </c>
      <c r="F187" s="56">
        <f t="shared" si="5"/>
        <v>19400</v>
      </c>
      <c r="G187" s="57">
        <f t="shared" si="6"/>
        <v>0.05712603062426384</v>
      </c>
      <c r="H187" s="57"/>
    </row>
    <row r="188" spans="2:8" s="53" customFormat="1" ht="15">
      <c r="B188" s="53" t="s">
        <v>159</v>
      </c>
      <c r="C188" s="54">
        <v>9938707</v>
      </c>
      <c r="E188" s="55">
        <v>6925753</v>
      </c>
      <c r="F188" s="56">
        <f t="shared" si="5"/>
        <v>-3012954</v>
      </c>
      <c r="G188" s="57">
        <f t="shared" si="6"/>
        <v>-0.303153518863168</v>
      </c>
      <c r="H188" s="57"/>
    </row>
    <row r="189" spans="2:8" s="53" customFormat="1" ht="15">
      <c r="B189" s="53" t="s">
        <v>160</v>
      </c>
      <c r="C189" s="54">
        <v>5528384</v>
      </c>
      <c r="E189" s="55">
        <v>5915370.23</v>
      </c>
      <c r="F189" s="56">
        <f t="shared" si="5"/>
        <v>386986.23000000045</v>
      </c>
      <c r="G189" s="57">
        <f t="shared" si="6"/>
        <v>0.06999988242495464</v>
      </c>
      <c r="H189" s="57"/>
    </row>
    <row r="190" spans="2:8" s="53" customFormat="1" ht="15">
      <c r="B190" s="53" t="s">
        <v>213</v>
      </c>
      <c r="C190" s="54">
        <v>7658338</v>
      </c>
      <c r="E190" s="55">
        <v>4965076.96</v>
      </c>
      <c r="F190" s="56">
        <f t="shared" si="5"/>
        <v>-2693261.04</v>
      </c>
      <c r="G190" s="57">
        <f t="shared" si="6"/>
        <v>-0.3516769617637665</v>
      </c>
      <c r="H190" s="57"/>
    </row>
    <row r="191" spans="2:8" s="53" customFormat="1" ht="15">
      <c r="B191" s="53" t="s">
        <v>187</v>
      </c>
      <c r="C191" s="54">
        <v>950312</v>
      </c>
      <c r="E191" s="55">
        <v>718880</v>
      </c>
      <c r="F191" s="56">
        <f t="shared" si="5"/>
        <v>-231432</v>
      </c>
      <c r="G191" s="57">
        <f t="shared" si="6"/>
        <v>-0.24353265032957597</v>
      </c>
      <c r="H191" s="57"/>
    </row>
    <row r="192" spans="2:8" s="53" customFormat="1" ht="15">
      <c r="B192" s="53" t="s">
        <v>172</v>
      </c>
      <c r="C192" s="54">
        <v>552497</v>
      </c>
      <c r="E192" s="55">
        <v>935140</v>
      </c>
      <c r="F192" s="56">
        <f t="shared" si="5"/>
        <v>382643</v>
      </c>
      <c r="G192" s="57">
        <f t="shared" si="6"/>
        <v>0.6925702763996908</v>
      </c>
      <c r="H192" s="57"/>
    </row>
    <row r="193" spans="2:8" s="53" customFormat="1" ht="15">
      <c r="B193" s="53" t="s">
        <v>214</v>
      </c>
      <c r="C193" s="54">
        <v>6875646</v>
      </c>
      <c r="E193" s="55">
        <f>7991762+270096</f>
        <v>8261858</v>
      </c>
      <c r="F193" s="56">
        <f t="shared" si="5"/>
        <v>1386212</v>
      </c>
      <c r="G193" s="57">
        <f t="shared" si="6"/>
        <v>0.20161189217711326</v>
      </c>
      <c r="H193" s="57"/>
    </row>
    <row r="194" spans="2:8" s="53" customFormat="1" ht="15">
      <c r="B194" s="53" t="s">
        <v>215</v>
      </c>
      <c r="C194" s="54">
        <v>1452280</v>
      </c>
      <c r="E194" s="55">
        <v>156740</v>
      </c>
      <c r="F194" s="56">
        <f t="shared" si="5"/>
        <v>-1295540</v>
      </c>
      <c r="G194" s="57">
        <f t="shared" si="6"/>
        <v>-0.8920731539372573</v>
      </c>
      <c r="H194" s="57"/>
    </row>
    <row r="195" spans="2:8" s="53" customFormat="1" ht="15">
      <c r="B195" s="53" t="s">
        <v>162</v>
      </c>
      <c r="C195" s="54">
        <v>1700000</v>
      </c>
      <c r="E195" s="55">
        <v>1018163</v>
      </c>
      <c r="F195" s="56">
        <f t="shared" si="5"/>
        <v>-681837</v>
      </c>
      <c r="G195" s="57">
        <f t="shared" si="6"/>
        <v>-0.40108058823529413</v>
      </c>
      <c r="H195" s="57"/>
    </row>
    <row r="196" spans="2:8" s="53" customFormat="1" ht="15">
      <c r="B196" s="53" t="s">
        <v>216</v>
      </c>
      <c r="C196" s="54">
        <v>6100</v>
      </c>
      <c r="E196" s="55">
        <v>484900</v>
      </c>
      <c r="F196" s="56">
        <f t="shared" si="5"/>
        <v>478800</v>
      </c>
      <c r="G196" s="57">
        <f t="shared" si="6"/>
        <v>78.49180327868852</v>
      </c>
      <c r="H196" s="57"/>
    </row>
    <row r="197" spans="2:8" s="53" customFormat="1" ht="15">
      <c r="B197" s="53" t="s">
        <v>217</v>
      </c>
      <c r="C197" s="54">
        <v>216200</v>
      </c>
      <c r="E197" s="55">
        <v>135000</v>
      </c>
      <c r="F197" s="56">
        <f t="shared" si="5"/>
        <v>-81200</v>
      </c>
      <c r="G197" s="57">
        <f t="shared" si="6"/>
        <v>-0.3755781683626272</v>
      </c>
      <c r="H197" s="57"/>
    </row>
    <row r="198" spans="2:8" s="53" customFormat="1" ht="15">
      <c r="B198" s="53" t="s">
        <v>218</v>
      </c>
      <c r="C198" s="54">
        <v>2629475</v>
      </c>
      <c r="E198" s="55">
        <v>2353000</v>
      </c>
      <c r="F198" s="56">
        <f t="shared" si="5"/>
        <v>-276475</v>
      </c>
      <c r="G198" s="57">
        <f t="shared" si="6"/>
        <v>-0.105144563078181</v>
      </c>
      <c r="H198" s="57"/>
    </row>
    <row r="199" spans="2:8" s="53" customFormat="1" ht="15">
      <c r="B199" s="53" t="s">
        <v>219</v>
      </c>
      <c r="C199" s="58">
        <v>20554492</v>
      </c>
      <c r="E199" s="58">
        <v>24801799</v>
      </c>
      <c r="F199" s="56">
        <f t="shared" si="5"/>
        <v>4247307</v>
      </c>
      <c r="G199" s="57">
        <f t="shared" si="6"/>
        <v>0.2066364374269138</v>
      </c>
      <c r="H199" s="57"/>
    </row>
    <row r="200" spans="2:8" s="53" customFormat="1" ht="15">
      <c r="B200" s="53" t="s">
        <v>220</v>
      </c>
      <c r="C200" s="58">
        <v>2562450</v>
      </c>
      <c r="E200" s="58">
        <f>2441900+1100000+500000</f>
        <v>4041900</v>
      </c>
      <c r="F200" s="56">
        <f t="shared" si="5"/>
        <v>1479450</v>
      </c>
      <c r="G200" s="57">
        <f t="shared" si="6"/>
        <v>0.5773576069776971</v>
      </c>
      <c r="H200" s="57"/>
    </row>
    <row r="201" spans="2:8" s="53" customFormat="1" ht="15">
      <c r="B201" s="53" t="s">
        <v>191</v>
      </c>
      <c r="C201" s="58">
        <v>28520914</v>
      </c>
      <c r="E201" s="58">
        <f>34604815-5054715</f>
        <v>29550100</v>
      </c>
      <c r="F201" s="56">
        <f t="shared" si="5"/>
        <v>1029186</v>
      </c>
      <c r="G201" s="57">
        <f t="shared" si="6"/>
        <v>0.036085309187496584</v>
      </c>
      <c r="H201" s="57"/>
    </row>
    <row r="202" spans="2:8" s="53" customFormat="1" ht="15">
      <c r="B202" s="53" t="s">
        <v>221</v>
      </c>
      <c r="C202" s="58">
        <v>1888375</v>
      </c>
      <c r="E202" s="58">
        <f>11724448-270096</f>
        <v>11454352</v>
      </c>
      <c r="F202" s="56">
        <f t="shared" si="5"/>
        <v>9565977</v>
      </c>
      <c r="G202" s="57">
        <f t="shared" si="6"/>
        <v>5.0657189382405505</v>
      </c>
      <c r="H202" s="57"/>
    </row>
    <row r="203" spans="2:8" s="53" customFormat="1" ht="15">
      <c r="B203" s="53" t="s">
        <v>222</v>
      </c>
      <c r="C203" s="58"/>
      <c r="E203" s="55">
        <v>739335</v>
      </c>
      <c r="F203" s="56">
        <f t="shared" si="5"/>
        <v>739335</v>
      </c>
      <c r="G203" s="57" t="e">
        <f t="shared" si="6"/>
        <v>#DIV/0!</v>
      </c>
      <c r="H203" s="57"/>
    </row>
    <row r="204" spans="2:8" s="53" customFormat="1" ht="15">
      <c r="B204" s="53" t="s">
        <v>223</v>
      </c>
      <c r="C204" s="58">
        <v>230000</v>
      </c>
      <c r="E204" s="58"/>
      <c r="F204" s="56">
        <f t="shared" si="5"/>
        <v>-230000</v>
      </c>
      <c r="G204" s="57">
        <f t="shared" si="6"/>
        <v>-1</v>
      </c>
      <c r="H204" s="57"/>
    </row>
    <row r="205" spans="2:8" s="53" customFormat="1" ht="15">
      <c r="B205" s="53" t="s">
        <v>72</v>
      </c>
      <c r="C205" s="58"/>
      <c r="E205" s="58"/>
      <c r="F205" s="56">
        <f t="shared" si="5"/>
        <v>0</v>
      </c>
      <c r="G205" s="57" t="e">
        <f t="shared" si="6"/>
        <v>#DIV/0!</v>
      </c>
      <c r="H205" s="57"/>
    </row>
    <row r="206" spans="2:8" s="53" customFormat="1" ht="15">
      <c r="B206" s="53" t="s">
        <v>224</v>
      </c>
      <c r="C206" s="58">
        <f>46210229-10701314.62</f>
        <v>35508914.38</v>
      </c>
      <c r="E206" s="58">
        <v>24331770</v>
      </c>
      <c r="F206" s="56">
        <f t="shared" si="5"/>
        <v>-11177144.380000003</v>
      </c>
      <c r="G206" s="57">
        <f t="shared" si="6"/>
        <v>-0.31477009576770965</v>
      </c>
      <c r="H206" s="57"/>
    </row>
    <row r="207" spans="2:8" s="53" customFormat="1" ht="15">
      <c r="B207" s="53" t="s">
        <v>225</v>
      </c>
      <c r="C207" s="58">
        <v>3921212</v>
      </c>
      <c r="E207" s="58">
        <v>0</v>
      </c>
      <c r="F207" s="56">
        <f t="shared" si="5"/>
        <v>-3921212</v>
      </c>
      <c r="G207" s="57">
        <f t="shared" si="6"/>
        <v>-1</v>
      </c>
      <c r="H207" s="57"/>
    </row>
    <row r="208" spans="2:8" s="53" customFormat="1" ht="15">
      <c r="B208" s="53" t="s">
        <v>226</v>
      </c>
      <c r="C208" s="58">
        <f>41208611+25239201-30000000</f>
        <v>36447812</v>
      </c>
      <c r="E208" s="55">
        <v>43221070</v>
      </c>
      <c r="F208" s="56">
        <f t="shared" si="5"/>
        <v>6773258</v>
      </c>
      <c r="G208" s="57">
        <f t="shared" si="6"/>
        <v>0.1858344199097603</v>
      </c>
      <c r="H208" s="57"/>
    </row>
    <row r="209" spans="2:8" s="53" customFormat="1" ht="15">
      <c r="B209" s="53" t="s">
        <v>167</v>
      </c>
      <c r="C209" s="58">
        <v>16433790</v>
      </c>
      <c r="E209" s="58">
        <v>31900600</v>
      </c>
      <c r="F209" s="56">
        <f t="shared" si="5"/>
        <v>15466810</v>
      </c>
      <c r="G209" s="57">
        <f t="shared" si="6"/>
        <v>0.9411590387853319</v>
      </c>
      <c r="H209" s="57"/>
    </row>
    <row r="210" spans="2:8" s="53" customFormat="1" ht="15">
      <c r="B210" s="53" t="s">
        <v>173</v>
      </c>
      <c r="C210" s="54">
        <v>6058845</v>
      </c>
      <c r="E210" s="6">
        <f>653284+69631560</f>
        <v>70284844</v>
      </c>
      <c r="F210" s="56"/>
      <c r="G210" s="57"/>
      <c r="H210" s="57"/>
    </row>
    <row r="211" spans="2:8" s="53" customFormat="1" ht="15">
      <c r="B211" s="53" t="s">
        <v>155</v>
      </c>
      <c r="C211" s="54">
        <v>885060</v>
      </c>
      <c r="E211" s="55">
        <v>1248111</v>
      </c>
      <c r="F211" s="56">
        <f t="shared" si="5"/>
        <v>363051</v>
      </c>
      <c r="G211" s="57">
        <f t="shared" si="6"/>
        <v>0.4101993085214562</v>
      </c>
      <c r="H211" s="57"/>
    </row>
    <row r="212" spans="2:8" s="53" customFormat="1" ht="15">
      <c r="B212" s="53" t="s">
        <v>227</v>
      </c>
      <c r="C212" s="58">
        <v>0</v>
      </c>
      <c r="E212" s="55">
        <v>7061852</v>
      </c>
      <c r="F212" s="56">
        <f t="shared" si="5"/>
        <v>7061852</v>
      </c>
      <c r="G212" s="57" t="e">
        <f t="shared" si="6"/>
        <v>#DIV/0!</v>
      </c>
      <c r="H212" s="57"/>
    </row>
    <row r="213" spans="2:8" s="53" customFormat="1" ht="15">
      <c r="B213" s="53" t="s">
        <v>228</v>
      </c>
      <c r="C213" s="58">
        <v>0</v>
      </c>
      <c r="E213" s="8">
        <f>56452625+309000+68077375</f>
        <v>124839000</v>
      </c>
      <c r="F213" s="56">
        <f t="shared" si="5"/>
        <v>124839000</v>
      </c>
      <c r="G213" s="57" t="e">
        <f t="shared" si="6"/>
        <v>#DIV/0!</v>
      </c>
      <c r="H213" s="57"/>
    </row>
    <row r="214" spans="3:8" s="53" customFormat="1" ht="15">
      <c r="C214" s="58"/>
      <c r="E214" s="8"/>
      <c r="F214" s="56"/>
      <c r="G214" s="57"/>
      <c r="H214" s="57"/>
    </row>
    <row r="215" spans="3:8" s="53" customFormat="1" ht="15">
      <c r="C215" s="58"/>
      <c r="E215" s="8"/>
      <c r="F215" s="56"/>
      <c r="G215" s="57"/>
      <c r="H215" s="57"/>
    </row>
    <row r="216" spans="3:8" s="53" customFormat="1" ht="15">
      <c r="C216" s="58"/>
      <c r="E216" s="8"/>
      <c r="F216" s="56"/>
      <c r="G216" s="57"/>
      <c r="H216" s="57"/>
    </row>
    <row r="217" spans="1:8" s="50" customFormat="1" ht="16.5" customHeight="1">
      <c r="A217" s="50" t="s">
        <v>132</v>
      </c>
      <c r="B217" s="50" t="s">
        <v>180</v>
      </c>
      <c r="C217" s="46">
        <f>SUM(C218:C221)</f>
        <v>25430635.53</v>
      </c>
      <c r="D217" s="46"/>
      <c r="E217" s="46">
        <f>SUM(E218:E221)</f>
        <v>49706754.25</v>
      </c>
      <c r="F217" s="51"/>
      <c r="G217" s="52"/>
      <c r="H217" s="52"/>
    </row>
    <row r="218" spans="2:8" s="53" customFormat="1" ht="15">
      <c r="B218" s="53" t="s">
        <v>15</v>
      </c>
      <c r="C218" s="58"/>
      <c r="E218" s="55">
        <v>15798</v>
      </c>
      <c r="F218" s="56">
        <f>+E218-C218</f>
        <v>15798</v>
      </c>
      <c r="G218" s="57" t="e">
        <f>+F218/C218</f>
        <v>#DIV/0!</v>
      </c>
      <c r="H218" s="57"/>
    </row>
    <row r="219" spans="2:8" s="53" customFormat="1" ht="15">
      <c r="B219" s="53" t="s">
        <v>203</v>
      </c>
      <c r="C219" s="54">
        <v>1575550</v>
      </c>
      <c r="E219" s="55">
        <f>1933870+716926</f>
        <v>2650796</v>
      </c>
      <c r="F219" s="56">
        <f>+E219-C219</f>
        <v>1075246</v>
      </c>
      <c r="G219" s="57">
        <f>+F219/C219</f>
        <v>0.6824575545047761</v>
      </c>
      <c r="H219" s="57"/>
    </row>
    <row r="220" spans="2:8" s="53" customFormat="1" ht="15">
      <c r="B220" s="53" t="s">
        <v>196</v>
      </c>
      <c r="C220" s="54">
        <v>14874984</v>
      </c>
      <c r="E220" s="55">
        <f>18738656.75-5.8+0.3</f>
        <v>18738651.25</v>
      </c>
      <c r="F220" s="56">
        <f>+E220-C220</f>
        <v>3863667.25</v>
      </c>
      <c r="G220" s="57">
        <f>+F220/C220</f>
        <v>0.2597426155214688</v>
      </c>
      <c r="H220" s="57"/>
    </row>
    <row r="221" spans="2:8" s="53" customFormat="1" ht="15">
      <c r="B221" s="53" t="s">
        <v>195</v>
      </c>
      <c r="C221" s="54">
        <v>8980101.53</v>
      </c>
      <c r="E221" s="55">
        <f>28321509-20000</f>
        <v>28301509</v>
      </c>
      <c r="F221" s="56">
        <f>+E221-C221</f>
        <v>19321407.47</v>
      </c>
      <c r="G221" s="57">
        <f>+F221/C221</f>
        <v>2.1515800690507336</v>
      </c>
      <c r="H221" s="57"/>
    </row>
    <row r="222" spans="3:8" s="53" customFormat="1" ht="15">
      <c r="C222" s="58"/>
      <c r="E222" s="58"/>
      <c r="F222" s="56"/>
      <c r="G222" s="57"/>
      <c r="H222" s="57"/>
    </row>
    <row r="223" spans="1:8" s="44" customFormat="1" ht="15">
      <c r="A223" s="44" t="s">
        <v>134</v>
      </c>
      <c r="B223" s="44" t="s">
        <v>229</v>
      </c>
      <c r="C223" s="46">
        <f>+C150-C160-C217</f>
        <v>-470724537.90999997</v>
      </c>
      <c r="D223" s="47"/>
      <c r="E223" s="47">
        <f>+E150-E160-E217</f>
        <v>-551576677.3600001</v>
      </c>
      <c r="F223" s="63">
        <f t="shared" si="5"/>
        <v>-80852139.45000017</v>
      </c>
      <c r="G223" s="64">
        <f t="shared" si="6"/>
        <v>0.17176104693624164</v>
      </c>
      <c r="H223" s="64"/>
    </row>
    <row r="224" spans="3:8" s="44" customFormat="1" ht="15">
      <c r="C224" s="46"/>
      <c r="E224" s="47"/>
      <c r="F224" s="63"/>
      <c r="G224" s="64"/>
      <c r="H224" s="64"/>
    </row>
    <row r="225" spans="2:8" s="44" customFormat="1" ht="15">
      <c r="B225" s="44" t="s">
        <v>230</v>
      </c>
      <c r="C225" s="46">
        <f>+C70+C146+C223</f>
        <v>69095537.09000003</v>
      </c>
      <c r="D225" s="47"/>
      <c r="E225" s="74">
        <f>+E70+E146+E223</f>
        <v>-454726098.51999885</v>
      </c>
      <c r="F225" s="63">
        <f t="shared" si="5"/>
        <v>-523821635.6099989</v>
      </c>
      <c r="G225" s="64">
        <f t="shared" si="6"/>
        <v>-7.581121121147054</v>
      </c>
      <c r="H225" s="64"/>
    </row>
    <row r="226" spans="3:5" s="59" customFormat="1" ht="15">
      <c r="C226" s="58"/>
      <c r="E226" s="60"/>
    </row>
    <row r="227" spans="3:5" s="59" customFormat="1" ht="15">
      <c r="C227" s="61"/>
      <c r="E227" s="61"/>
    </row>
    <row r="228" spans="3:5" s="59" customFormat="1" ht="15">
      <c r="C228" s="54"/>
      <c r="E228" s="60"/>
    </row>
    <row r="229" spans="3:5" s="59" customFormat="1" ht="15">
      <c r="C229" s="58"/>
      <c r="D229" s="58"/>
      <c r="E229" s="58"/>
    </row>
    <row r="230" spans="3:5" s="59" customFormat="1" ht="15">
      <c r="C230" s="58"/>
      <c r="E230" s="60"/>
    </row>
    <row r="231" spans="3:5" s="59" customFormat="1" ht="15">
      <c r="C231" s="58"/>
      <c r="E231" s="60"/>
    </row>
    <row r="232" spans="3:5" s="59" customFormat="1" ht="15">
      <c r="C232" s="58"/>
      <c r="E232" s="60"/>
    </row>
    <row r="233" spans="3:5" s="59" customFormat="1" ht="15">
      <c r="C233" s="58"/>
      <c r="E233" s="60"/>
    </row>
    <row r="234" spans="3:5" s="59" customFormat="1" ht="15">
      <c r="C234" s="58"/>
      <c r="E234" s="60"/>
    </row>
    <row r="235" spans="3:5" s="59" customFormat="1" ht="15">
      <c r="C235" s="58"/>
      <c r="E235" s="60"/>
    </row>
    <row r="236" spans="3:5" s="59" customFormat="1" ht="15">
      <c r="C236" s="58"/>
      <c r="E236" s="60"/>
    </row>
    <row r="237" spans="3:5" s="59" customFormat="1" ht="15">
      <c r="C237" s="58"/>
      <c r="E237" s="60"/>
    </row>
    <row r="238" spans="3:5" s="59" customFormat="1" ht="15">
      <c r="C238" s="58"/>
      <c r="E238" s="60"/>
    </row>
    <row r="239" spans="3:5" s="59" customFormat="1" ht="15">
      <c r="C239" s="58"/>
      <c r="E239" s="60"/>
    </row>
    <row r="240" spans="3:5" s="59" customFormat="1" ht="15">
      <c r="C240" s="58"/>
      <c r="E240" s="60"/>
    </row>
    <row r="241" spans="3:5" s="59" customFormat="1" ht="15">
      <c r="C241" s="58"/>
      <c r="E241" s="60"/>
    </row>
    <row r="242" spans="3:5" s="59" customFormat="1" ht="15">
      <c r="C242" s="58"/>
      <c r="E242" s="60"/>
    </row>
    <row r="243" spans="3:5" s="59" customFormat="1" ht="15">
      <c r="C243" s="58"/>
      <c r="E243" s="60"/>
    </row>
    <row r="244" spans="3:5" s="59" customFormat="1" ht="15">
      <c r="C244" s="58"/>
      <c r="E244" s="60"/>
    </row>
    <row r="245" spans="3:5" s="59" customFormat="1" ht="15">
      <c r="C245" s="58"/>
      <c r="E245" s="60"/>
    </row>
    <row r="246" spans="3:5" s="59" customFormat="1" ht="15">
      <c r="C246" s="58"/>
      <c r="E246" s="60"/>
    </row>
    <row r="247" spans="3:5" s="59" customFormat="1" ht="15">
      <c r="C247" s="58"/>
      <c r="E247" s="60"/>
    </row>
    <row r="248" spans="3:5" s="59" customFormat="1" ht="15">
      <c r="C248" s="58"/>
      <c r="E248" s="60"/>
    </row>
    <row r="249" spans="3:5" s="59" customFormat="1" ht="15">
      <c r="C249" s="58"/>
      <c r="E249" s="60"/>
    </row>
    <row r="250" spans="3:5" s="59" customFormat="1" ht="15">
      <c r="C250" s="58"/>
      <c r="E250" s="60"/>
    </row>
    <row r="251" spans="3:5" s="59" customFormat="1" ht="15">
      <c r="C251" s="58"/>
      <c r="E251" s="60"/>
    </row>
    <row r="252" spans="3:5" s="59" customFormat="1" ht="15">
      <c r="C252" s="58"/>
      <c r="E252" s="60"/>
    </row>
    <row r="253" spans="3:5" s="59" customFormat="1" ht="15">
      <c r="C253" s="58"/>
      <c r="E253" s="60"/>
    </row>
    <row r="254" spans="3:5" s="59" customFormat="1" ht="15">
      <c r="C254" s="58"/>
      <c r="E254" s="60"/>
    </row>
    <row r="255" spans="3:5" s="59" customFormat="1" ht="15">
      <c r="C255" s="58"/>
      <c r="E255" s="60"/>
    </row>
    <row r="256" spans="3:5" s="59" customFormat="1" ht="15">
      <c r="C256" s="58"/>
      <c r="E256" s="60"/>
    </row>
    <row r="257" spans="3:5" s="59" customFormat="1" ht="15">
      <c r="C257" s="58"/>
      <c r="E257" s="60"/>
    </row>
    <row r="258" spans="3:5" s="59" customFormat="1" ht="15">
      <c r="C258" s="58"/>
      <c r="E258" s="60"/>
    </row>
    <row r="259" spans="3:5" s="59" customFormat="1" ht="15">
      <c r="C259" s="58"/>
      <c r="E259" s="60"/>
    </row>
    <row r="260" spans="3:5" s="59" customFormat="1" ht="15">
      <c r="C260" s="58"/>
      <c r="E260" s="60"/>
    </row>
    <row r="261" spans="3:5" s="59" customFormat="1" ht="15">
      <c r="C261" s="58"/>
      <c r="E261" s="60"/>
    </row>
    <row r="262" spans="3:5" s="59" customFormat="1" ht="15">
      <c r="C262" s="58"/>
      <c r="E262" s="60"/>
    </row>
    <row r="263" spans="3:5" s="59" customFormat="1" ht="15">
      <c r="C263" s="58"/>
      <c r="E263" s="60"/>
    </row>
    <row r="264" spans="3:5" s="59" customFormat="1" ht="15">
      <c r="C264" s="58"/>
      <c r="E264" s="60"/>
    </row>
    <row r="265" spans="3:5" s="59" customFormat="1" ht="15">
      <c r="C265" s="58"/>
      <c r="E265" s="60"/>
    </row>
    <row r="266" spans="3:5" s="59" customFormat="1" ht="15">
      <c r="C266" s="58"/>
      <c r="E266" s="60"/>
    </row>
    <row r="267" spans="3:5" s="59" customFormat="1" ht="15">
      <c r="C267" s="58"/>
      <c r="E267" s="60"/>
    </row>
    <row r="268" spans="3:5" s="59" customFormat="1" ht="15">
      <c r="C268" s="58"/>
      <c r="E268" s="60"/>
    </row>
    <row r="269" spans="3:5" s="59" customFormat="1" ht="15">
      <c r="C269" s="58"/>
      <c r="E269" s="60"/>
    </row>
    <row r="270" spans="3:5" s="59" customFormat="1" ht="15">
      <c r="C270" s="58"/>
      <c r="E270" s="60"/>
    </row>
    <row r="271" spans="3:5" s="59" customFormat="1" ht="15">
      <c r="C271" s="58"/>
      <c r="E271" s="60"/>
    </row>
    <row r="272" spans="3:5" s="59" customFormat="1" ht="15">
      <c r="C272" s="58"/>
      <c r="E272" s="60"/>
    </row>
    <row r="273" spans="3:5" s="59" customFormat="1" ht="15">
      <c r="C273" s="58"/>
      <c r="E273" s="60"/>
    </row>
    <row r="274" spans="3:5" s="59" customFormat="1" ht="15">
      <c r="C274" s="58"/>
      <c r="E274" s="60"/>
    </row>
    <row r="275" spans="3:5" s="59" customFormat="1" ht="15">
      <c r="C275" s="58"/>
      <c r="E275" s="60"/>
    </row>
    <row r="276" spans="3:5" s="59" customFormat="1" ht="15">
      <c r="C276" s="58"/>
      <c r="E276" s="60"/>
    </row>
    <row r="277" spans="3:5" s="59" customFormat="1" ht="15">
      <c r="C277" s="58"/>
      <c r="E277" s="60"/>
    </row>
    <row r="278" spans="3:5" s="59" customFormat="1" ht="15">
      <c r="C278" s="58"/>
      <c r="E278" s="60"/>
    </row>
    <row r="279" spans="3:5" s="59" customFormat="1" ht="15">
      <c r="C279" s="58"/>
      <c r="E279" s="60"/>
    </row>
    <row r="280" spans="3:5" s="59" customFormat="1" ht="15">
      <c r="C280" s="58"/>
      <c r="E280" s="60"/>
    </row>
    <row r="281" spans="3:5" s="59" customFormat="1" ht="15">
      <c r="C281" s="58"/>
      <c r="E281" s="60"/>
    </row>
    <row r="282" spans="3:5" s="59" customFormat="1" ht="15">
      <c r="C282" s="58"/>
      <c r="E282" s="60"/>
    </row>
    <row r="283" spans="3:5" s="59" customFormat="1" ht="15">
      <c r="C283" s="58"/>
      <c r="E283" s="60"/>
    </row>
    <row r="284" spans="3:5" s="59" customFormat="1" ht="15">
      <c r="C284" s="58"/>
      <c r="E284" s="60"/>
    </row>
    <row r="285" spans="3:5" s="59" customFormat="1" ht="15">
      <c r="C285" s="58"/>
      <c r="E285" s="60"/>
    </row>
    <row r="286" spans="3:5" s="59" customFormat="1" ht="15">
      <c r="C286" s="58"/>
      <c r="E286" s="60"/>
    </row>
    <row r="287" spans="3:5" s="59" customFormat="1" ht="15">
      <c r="C287" s="58"/>
      <c r="E287" s="60"/>
    </row>
    <row r="288" spans="3:5" s="59" customFormat="1" ht="15">
      <c r="C288" s="58"/>
      <c r="E288" s="60"/>
    </row>
    <row r="289" spans="3:5" s="59" customFormat="1" ht="15">
      <c r="C289" s="58"/>
      <c r="E289" s="60"/>
    </row>
    <row r="290" spans="3:5" s="59" customFormat="1" ht="15">
      <c r="C290" s="58"/>
      <c r="E290" s="60"/>
    </row>
    <row r="291" spans="3:5" s="59" customFormat="1" ht="15">
      <c r="C291" s="58"/>
      <c r="E291" s="60"/>
    </row>
    <row r="292" spans="3:5" s="59" customFormat="1" ht="15">
      <c r="C292" s="58"/>
      <c r="E292" s="60"/>
    </row>
    <row r="293" spans="3:5" s="59" customFormat="1" ht="15">
      <c r="C293" s="58"/>
      <c r="E293" s="60"/>
    </row>
    <row r="294" spans="3:5" s="59" customFormat="1" ht="15">
      <c r="C294" s="58"/>
      <c r="E294" s="60"/>
    </row>
    <row r="295" spans="3:5" s="59" customFormat="1" ht="15">
      <c r="C295" s="58"/>
      <c r="E295" s="60"/>
    </row>
    <row r="296" spans="3:5" s="59" customFormat="1" ht="15">
      <c r="C296" s="58"/>
      <c r="E296" s="60"/>
    </row>
    <row r="297" spans="3:5" s="59" customFormat="1" ht="15">
      <c r="C297" s="58"/>
      <c r="E297" s="60"/>
    </row>
    <row r="298" spans="3:5" s="59" customFormat="1" ht="15">
      <c r="C298" s="58"/>
      <c r="E298" s="60"/>
    </row>
    <row r="299" spans="3:5" s="59" customFormat="1" ht="15">
      <c r="C299" s="58"/>
      <c r="E299" s="60"/>
    </row>
    <row r="300" spans="3:5" s="59" customFormat="1" ht="15">
      <c r="C300" s="58"/>
      <c r="E300" s="60"/>
    </row>
    <row r="301" spans="3:5" s="59" customFormat="1" ht="15">
      <c r="C301" s="58"/>
      <c r="E301" s="60"/>
    </row>
    <row r="302" spans="3:5" s="59" customFormat="1" ht="15">
      <c r="C302" s="58"/>
      <c r="E302" s="60"/>
    </row>
    <row r="303" spans="3:5" s="59" customFormat="1" ht="15">
      <c r="C303" s="58"/>
      <c r="E303" s="60"/>
    </row>
    <row r="304" spans="3:5" s="59" customFormat="1" ht="15">
      <c r="C304" s="58"/>
      <c r="E304" s="60"/>
    </row>
    <row r="305" spans="3:5" s="59" customFormat="1" ht="15">
      <c r="C305" s="58"/>
      <c r="E305" s="60"/>
    </row>
    <row r="306" spans="3:5" s="59" customFormat="1" ht="15">
      <c r="C306" s="58"/>
      <c r="E306" s="60"/>
    </row>
    <row r="307" spans="3:5" s="59" customFormat="1" ht="15">
      <c r="C307" s="58"/>
      <c r="E307" s="60"/>
    </row>
    <row r="308" spans="3:5" s="59" customFormat="1" ht="15">
      <c r="C308" s="58"/>
      <c r="E308" s="60"/>
    </row>
    <row r="309" spans="3:5" s="59" customFormat="1" ht="15">
      <c r="C309" s="58"/>
      <c r="E309" s="60"/>
    </row>
    <row r="310" spans="3:5" s="59" customFormat="1" ht="15">
      <c r="C310" s="58"/>
      <c r="E310" s="60"/>
    </row>
    <row r="311" spans="3:5" s="59" customFormat="1" ht="15">
      <c r="C311" s="58"/>
      <c r="E311" s="60"/>
    </row>
    <row r="312" spans="3:5" s="59" customFormat="1" ht="15">
      <c r="C312" s="58"/>
      <c r="E312" s="60"/>
    </row>
    <row r="313" spans="3:5" s="59" customFormat="1" ht="15">
      <c r="C313" s="58"/>
      <c r="E313" s="60"/>
    </row>
    <row r="314" spans="3:5" s="59" customFormat="1" ht="15">
      <c r="C314" s="58"/>
      <c r="E314" s="60"/>
    </row>
    <row r="315" spans="3:5" s="59" customFormat="1" ht="15">
      <c r="C315" s="58"/>
      <c r="E315" s="60"/>
    </row>
    <row r="316" spans="3:5" s="59" customFormat="1" ht="15">
      <c r="C316" s="58"/>
      <c r="E316" s="60"/>
    </row>
    <row r="317" spans="3:5" s="59" customFormat="1" ht="15">
      <c r="C317" s="58"/>
      <c r="E317" s="60"/>
    </row>
    <row r="318" spans="3:5" s="59" customFormat="1" ht="15">
      <c r="C318" s="58"/>
      <c r="E318" s="60"/>
    </row>
    <row r="319" spans="3:5" s="59" customFormat="1" ht="15">
      <c r="C319" s="58"/>
      <c r="E319" s="60"/>
    </row>
    <row r="320" spans="3:5" s="59" customFormat="1" ht="15">
      <c r="C320" s="58"/>
      <c r="E320" s="60"/>
    </row>
    <row r="321" spans="3:5" s="59" customFormat="1" ht="15">
      <c r="C321" s="58"/>
      <c r="E321" s="60"/>
    </row>
    <row r="322" spans="3:5" s="59" customFormat="1" ht="15">
      <c r="C322" s="58"/>
      <c r="E322" s="60"/>
    </row>
    <row r="323" spans="3:5" s="59" customFormat="1" ht="15">
      <c r="C323" s="58"/>
      <c r="E323" s="60"/>
    </row>
    <row r="324" spans="3:5" s="59" customFormat="1" ht="15">
      <c r="C324" s="58"/>
      <c r="E324" s="60"/>
    </row>
    <row r="325" spans="3:5" s="59" customFormat="1" ht="15">
      <c r="C325" s="58"/>
      <c r="E325" s="60"/>
    </row>
    <row r="326" spans="3:5" s="59" customFormat="1" ht="15">
      <c r="C326" s="58"/>
      <c r="E326" s="60"/>
    </row>
    <row r="327" spans="3:5" s="59" customFormat="1" ht="15">
      <c r="C327" s="58"/>
      <c r="E327" s="60"/>
    </row>
    <row r="328" spans="3:5" s="59" customFormat="1" ht="15">
      <c r="C328" s="58"/>
      <c r="E328" s="60"/>
    </row>
    <row r="329" spans="3:5" s="59" customFormat="1" ht="15">
      <c r="C329" s="58"/>
      <c r="E329" s="60"/>
    </row>
    <row r="330" spans="3:5" s="59" customFormat="1" ht="15">
      <c r="C330" s="58"/>
      <c r="E330" s="60"/>
    </row>
    <row r="331" spans="3:5" s="59" customFormat="1" ht="15">
      <c r="C331" s="58"/>
      <c r="E331" s="60"/>
    </row>
    <row r="332" spans="3:5" s="59" customFormat="1" ht="15">
      <c r="C332" s="58"/>
      <c r="E332" s="60"/>
    </row>
    <row r="333" spans="3:5" s="59" customFormat="1" ht="15">
      <c r="C333" s="58"/>
      <c r="E333" s="60"/>
    </row>
    <row r="334" spans="3:5" s="59" customFormat="1" ht="15">
      <c r="C334" s="58"/>
      <c r="E334" s="60"/>
    </row>
    <row r="335" spans="3:5" s="59" customFormat="1" ht="15">
      <c r="C335" s="58"/>
      <c r="E335" s="60"/>
    </row>
    <row r="336" spans="3:5" s="59" customFormat="1" ht="15">
      <c r="C336" s="58"/>
      <c r="E336" s="60"/>
    </row>
    <row r="337" spans="3:5" s="59" customFormat="1" ht="15">
      <c r="C337" s="58"/>
      <c r="E337" s="60"/>
    </row>
    <row r="338" spans="3:5" s="59" customFormat="1" ht="15">
      <c r="C338" s="58"/>
      <c r="E338" s="60"/>
    </row>
    <row r="339" spans="3:5" s="59" customFormat="1" ht="15">
      <c r="C339" s="58"/>
      <c r="E339" s="60"/>
    </row>
    <row r="340" spans="3:5" s="59" customFormat="1" ht="15">
      <c r="C340" s="58"/>
      <c r="E340" s="60"/>
    </row>
    <row r="341" spans="3:5" s="59" customFormat="1" ht="15">
      <c r="C341" s="58"/>
      <c r="E341" s="60"/>
    </row>
    <row r="342" spans="3:5" s="59" customFormat="1" ht="15">
      <c r="C342" s="58"/>
      <c r="E342" s="60"/>
    </row>
    <row r="343" spans="3:5" s="59" customFormat="1" ht="15">
      <c r="C343" s="58"/>
      <c r="E343" s="60"/>
    </row>
    <row r="344" spans="3:5" s="59" customFormat="1" ht="15">
      <c r="C344" s="58"/>
      <c r="E344" s="60"/>
    </row>
    <row r="345" spans="3:5" s="59" customFormat="1" ht="15">
      <c r="C345" s="58"/>
      <c r="E345" s="60"/>
    </row>
    <row r="346" spans="3:5" s="59" customFormat="1" ht="15">
      <c r="C346" s="58"/>
      <c r="E346" s="60"/>
    </row>
    <row r="347" spans="3:5" s="59" customFormat="1" ht="15">
      <c r="C347" s="58"/>
      <c r="E347" s="60"/>
    </row>
    <row r="348" spans="3:5" s="59" customFormat="1" ht="15">
      <c r="C348" s="58"/>
      <c r="E348" s="60"/>
    </row>
    <row r="349" spans="3:5" s="59" customFormat="1" ht="15">
      <c r="C349" s="58"/>
      <c r="E349" s="60"/>
    </row>
    <row r="350" spans="3:5" s="59" customFormat="1" ht="15">
      <c r="C350" s="58"/>
      <c r="E350" s="60"/>
    </row>
    <row r="351" spans="3:5" s="59" customFormat="1" ht="15">
      <c r="C351" s="58"/>
      <c r="E351" s="60"/>
    </row>
  </sheetData>
  <sheetProtection/>
  <mergeCells count="1">
    <mergeCell ref="B1:G1"/>
  </mergeCells>
  <printOptions/>
  <pageMargins left="0.7" right="0.7" top="0.75" bottom="0.75" header="0.3" footer="0.3"/>
  <pageSetup horizontalDpi="200" verticalDpi="2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0"/>
  <sheetViews>
    <sheetView zoomScalePageLayoutView="0" workbookViewId="0" topLeftCell="A19">
      <selection activeCell="D45" sqref="D45"/>
    </sheetView>
  </sheetViews>
  <sheetFormatPr defaultColWidth="11.421875" defaultRowHeight="15"/>
  <cols>
    <col min="1" max="1" width="3.140625" style="0" customWidth="1"/>
    <col min="2" max="2" width="44.00390625" style="0" bestFit="1" customWidth="1"/>
    <col min="3" max="3" width="3.421875" style="0" customWidth="1"/>
    <col min="4" max="4" width="17.421875" style="0" bestFit="1" customWidth="1"/>
    <col min="5" max="5" width="3.421875" style="0" customWidth="1"/>
    <col min="6" max="6" width="18.28125" style="0" bestFit="1" customWidth="1"/>
    <col min="7" max="7" width="3.421875" style="0" customWidth="1"/>
    <col min="8" max="8" width="25.421875" style="0" bestFit="1" customWidth="1"/>
    <col min="9" max="9" width="3.421875" style="0" customWidth="1"/>
    <col min="11" max="12" width="16.7109375" style="0" bestFit="1" customWidth="1"/>
  </cols>
  <sheetData>
    <row r="1" spans="1:10" ht="15">
      <c r="A1" s="22"/>
      <c r="B1" s="489" t="s">
        <v>91</v>
      </c>
      <c r="C1" s="489"/>
      <c r="D1" s="489"/>
      <c r="E1" s="489"/>
      <c r="F1" s="489"/>
      <c r="G1" s="489"/>
      <c r="H1" s="489"/>
      <c r="I1" s="489"/>
      <c r="J1" s="494"/>
    </row>
    <row r="2" spans="1:10" ht="15">
      <c r="A2" s="23"/>
      <c r="B2" s="490" t="s">
        <v>364</v>
      </c>
      <c r="C2" s="490"/>
      <c r="D2" s="490"/>
      <c r="E2" s="490"/>
      <c r="F2" s="490"/>
      <c r="G2" s="490"/>
      <c r="H2" s="490"/>
      <c r="I2" s="490"/>
      <c r="J2" s="495"/>
    </row>
    <row r="3" spans="1:10" ht="15">
      <c r="A3" s="23"/>
      <c r="B3" s="490" t="s">
        <v>93</v>
      </c>
      <c r="C3" s="490"/>
      <c r="D3" s="490"/>
      <c r="E3" s="490"/>
      <c r="F3" s="490"/>
      <c r="G3" s="490"/>
      <c r="H3" s="490"/>
      <c r="I3" s="490"/>
      <c r="J3" s="495"/>
    </row>
    <row r="4" spans="1:10" ht="15">
      <c r="A4" s="23"/>
      <c r="B4" s="96"/>
      <c r="C4" s="96"/>
      <c r="D4" s="98"/>
      <c r="E4" s="18"/>
      <c r="F4" s="100"/>
      <c r="G4" s="18"/>
      <c r="H4" s="18"/>
      <c r="I4" s="18"/>
      <c r="J4" s="93"/>
    </row>
    <row r="5" spans="1:10" ht="15">
      <c r="A5" s="23"/>
      <c r="B5" s="96"/>
      <c r="C5" s="96"/>
      <c r="D5" s="27">
        <v>2015</v>
      </c>
      <c r="E5" s="101"/>
      <c r="F5" s="27">
        <v>2014</v>
      </c>
      <c r="G5" s="18"/>
      <c r="H5" s="20" t="s">
        <v>81</v>
      </c>
      <c r="I5" s="21"/>
      <c r="J5" s="28" t="s">
        <v>82</v>
      </c>
    </row>
    <row r="6" spans="1:10" ht="15">
      <c r="A6" s="23"/>
      <c r="B6" s="21"/>
      <c r="C6" s="18"/>
      <c r="D6" s="18"/>
      <c r="E6" s="18"/>
      <c r="F6" s="18"/>
      <c r="G6" s="18"/>
      <c r="H6" s="18"/>
      <c r="I6" s="18"/>
      <c r="J6" s="93"/>
    </row>
    <row r="7" spans="1:10" ht="15">
      <c r="A7" s="23"/>
      <c r="B7" s="18"/>
      <c r="C7" s="18"/>
      <c r="D7" s="18"/>
      <c r="E7" s="18"/>
      <c r="F7" s="18"/>
      <c r="G7" s="18"/>
      <c r="H7" s="18"/>
      <c r="I7" s="18"/>
      <c r="J7" s="93"/>
    </row>
    <row r="8" spans="1:10" ht="15">
      <c r="A8" s="23"/>
      <c r="B8" s="21" t="s">
        <v>349</v>
      </c>
      <c r="C8" s="18"/>
      <c r="D8" s="100"/>
      <c r="E8" s="100"/>
      <c r="F8" s="100"/>
      <c r="G8" s="18"/>
      <c r="H8" s="18"/>
      <c r="I8" s="18"/>
      <c r="J8" s="93"/>
    </row>
    <row r="9" spans="1:10" ht="15">
      <c r="A9" s="23"/>
      <c r="B9" s="18"/>
      <c r="C9" s="18"/>
      <c r="D9" s="100"/>
      <c r="E9" s="100"/>
      <c r="F9" s="100"/>
      <c r="G9" s="18"/>
      <c r="H9" s="18"/>
      <c r="I9" s="18"/>
      <c r="J9" s="93"/>
    </row>
    <row r="10" spans="1:10" ht="15">
      <c r="A10" s="23"/>
      <c r="B10" s="21" t="s">
        <v>322</v>
      </c>
      <c r="C10" s="18"/>
      <c r="D10" s="20">
        <f>+'EST RESULTADOS'!D101</f>
        <v>35843563.26999962</v>
      </c>
      <c r="E10" s="20"/>
      <c r="F10" s="20">
        <f>+'EST RESULTADOS'!F101</f>
        <v>47565736.789999425</v>
      </c>
      <c r="G10" s="21"/>
      <c r="H10" s="35">
        <f>+D10-F10</f>
        <v>-11722173.519999802</v>
      </c>
      <c r="I10" s="21"/>
      <c r="J10" s="31">
        <f>+H10/F10</f>
        <v>-0.24644154198120946</v>
      </c>
    </row>
    <row r="11" spans="1:10" ht="15">
      <c r="A11" s="23"/>
      <c r="B11" s="21"/>
      <c r="C11" s="18"/>
      <c r="D11" s="100"/>
      <c r="E11" s="100"/>
      <c r="F11" s="100"/>
      <c r="G11" s="18"/>
      <c r="H11" s="18"/>
      <c r="I11" s="18"/>
      <c r="J11" s="93"/>
    </row>
    <row r="12" spans="1:10" ht="15">
      <c r="A12" s="23"/>
      <c r="B12" s="33" t="s">
        <v>167</v>
      </c>
      <c r="C12" s="18"/>
      <c r="D12" s="100">
        <f>+'ESTA CAMBIOS SITUACION FINACIER'!D10</f>
        <v>21602098.13</v>
      </c>
      <c r="E12" s="100"/>
      <c r="F12" s="100">
        <v>34428913</v>
      </c>
      <c r="G12" s="18"/>
      <c r="H12" s="77">
        <f>+D12-F12</f>
        <v>-12826814.870000001</v>
      </c>
      <c r="I12" s="18"/>
      <c r="J12" s="104">
        <f>+H12/F12</f>
        <v>-0.3725593912883628</v>
      </c>
    </row>
    <row r="13" spans="1:10" ht="15">
      <c r="A13" s="23"/>
      <c r="B13" s="33" t="s">
        <v>35</v>
      </c>
      <c r="C13" s="18"/>
      <c r="D13" s="102">
        <f>('BALANCES 2015-2014'!H40+'BALANCES 2015-2014'!H41)*-1</f>
        <v>-14941091.240000002</v>
      </c>
      <c r="E13" s="100"/>
      <c r="F13" s="102">
        <v>-15040743.63</v>
      </c>
      <c r="G13" s="18"/>
      <c r="H13" s="76">
        <f>+D13-F13</f>
        <v>99652.38999999873</v>
      </c>
      <c r="I13" s="18"/>
      <c r="J13" s="105">
        <f>+H13/F13</f>
        <v>-0.006625496215574996</v>
      </c>
    </row>
    <row r="14" spans="1:10" ht="15">
      <c r="A14" s="23"/>
      <c r="B14" s="18"/>
      <c r="C14" s="18"/>
      <c r="D14" s="100"/>
      <c r="E14" s="100"/>
      <c r="F14" s="100"/>
      <c r="G14" s="18"/>
      <c r="H14" s="18"/>
      <c r="I14" s="18"/>
      <c r="J14" s="93"/>
    </row>
    <row r="15" spans="1:10" ht="15">
      <c r="A15" s="23"/>
      <c r="B15" s="21" t="s">
        <v>350</v>
      </c>
      <c r="C15" s="18"/>
      <c r="D15" s="20">
        <f>SUM(D10:D14)</f>
        <v>42504570.15999962</v>
      </c>
      <c r="E15" s="20"/>
      <c r="F15" s="20">
        <f>SUM(F10:F14)</f>
        <v>66953906.15999942</v>
      </c>
      <c r="G15" s="20"/>
      <c r="H15" s="20">
        <f>SUM(H10:H14)</f>
        <v>-24449335.999999806</v>
      </c>
      <c r="I15" s="20"/>
      <c r="J15" s="43">
        <f>SUM(J10:J14)</f>
        <v>-0.6256264294851472</v>
      </c>
    </row>
    <row r="16" spans="1:10" ht="15">
      <c r="A16" s="23"/>
      <c r="B16" s="18"/>
      <c r="C16" s="18"/>
      <c r="D16" s="100"/>
      <c r="E16" s="100"/>
      <c r="F16" s="100"/>
      <c r="G16" s="18"/>
      <c r="H16" s="18"/>
      <c r="I16" s="18"/>
      <c r="J16" s="93"/>
    </row>
    <row r="17" spans="1:10" ht="15">
      <c r="A17" s="23"/>
      <c r="B17" s="21" t="s">
        <v>351</v>
      </c>
      <c r="C17" s="18"/>
      <c r="D17" s="100"/>
      <c r="E17" s="100"/>
      <c r="F17" s="100"/>
      <c r="G17" s="18"/>
      <c r="H17" s="18"/>
      <c r="I17" s="18"/>
      <c r="J17" s="93"/>
    </row>
    <row r="18" spans="1:10" ht="15">
      <c r="A18" s="23"/>
      <c r="B18" s="18" t="s">
        <v>78</v>
      </c>
      <c r="C18" s="18"/>
      <c r="D18" s="100">
        <f>-'BALANCES 2015-2014'!H8-'BALANCES 2015-2014'!H9</f>
        <v>158120130.51</v>
      </c>
      <c r="E18" s="100"/>
      <c r="F18" s="100">
        <v>163203117.05</v>
      </c>
      <c r="G18" s="18"/>
      <c r="H18" s="77">
        <f aca="true" t="shared" si="0" ref="H18:H32">+D18-F18</f>
        <v>-5082986.540000021</v>
      </c>
      <c r="I18" s="18"/>
      <c r="J18" s="104">
        <f aca="true" t="shared" si="1" ref="J18:J32">+H18/F18</f>
        <v>-0.03114515599872252</v>
      </c>
    </row>
    <row r="19" spans="1:10" ht="15">
      <c r="A19" s="23"/>
      <c r="B19" s="18" t="s">
        <v>415</v>
      </c>
      <c r="C19" s="18"/>
      <c r="D19" s="100">
        <f>-'BALANCE GENERAL 2016'!J12</f>
        <v>42671765.55</v>
      </c>
      <c r="E19" s="100"/>
      <c r="F19" s="100">
        <v>29174432</v>
      </c>
      <c r="G19" s="18"/>
      <c r="H19" s="77">
        <f t="shared" si="0"/>
        <v>13497333.549999997</v>
      </c>
      <c r="I19" s="18"/>
      <c r="J19" s="104">
        <f t="shared" si="1"/>
        <v>0.46264254776236935</v>
      </c>
    </row>
    <row r="20" spans="1:10" ht="15">
      <c r="A20" s="23"/>
      <c r="B20" s="18" t="s">
        <v>416</v>
      </c>
      <c r="C20" s="18"/>
      <c r="D20" s="100">
        <f>-'BALANCE GENERAL 2016'!J13-D21</f>
        <v>58841347.74</v>
      </c>
      <c r="E20" s="100"/>
      <c r="F20" s="100">
        <v>139633713.65</v>
      </c>
      <c r="G20" s="18"/>
      <c r="H20" s="77">
        <f t="shared" si="0"/>
        <v>-80792365.91</v>
      </c>
      <c r="I20" s="18"/>
      <c r="J20" s="104">
        <f t="shared" si="1"/>
        <v>-0.5786021426924929</v>
      </c>
    </row>
    <row r="21" spans="1:10" ht="15">
      <c r="A21" s="23"/>
      <c r="B21" s="18" t="s">
        <v>417</v>
      </c>
      <c r="C21" s="18"/>
      <c r="D21" s="100">
        <f>-'BALANCES 2015-2014'!H15</f>
        <v>-13507995.740000002</v>
      </c>
      <c r="E21" s="100"/>
      <c r="F21" s="100">
        <v>6476774</v>
      </c>
      <c r="G21" s="18"/>
      <c r="H21" s="77">
        <f t="shared" si="0"/>
        <v>-19984769.740000002</v>
      </c>
      <c r="I21" s="18"/>
      <c r="J21" s="104">
        <f t="shared" si="1"/>
        <v>-3.085605540659594</v>
      </c>
    </row>
    <row r="22" spans="1:10" ht="15">
      <c r="A22" s="23"/>
      <c r="B22" s="18" t="s">
        <v>88</v>
      </c>
      <c r="C22" s="18"/>
      <c r="D22" s="100">
        <f>-'BALANCE GENERAL 2016'!J22</f>
        <v>-203068525</v>
      </c>
      <c r="E22" s="100"/>
      <c r="F22" s="100">
        <f>360156071.74-F19-F20-F21</f>
        <v>184871152.09</v>
      </c>
      <c r="G22" s="18"/>
      <c r="H22" s="77">
        <f t="shared" si="0"/>
        <v>-387939677.09000003</v>
      </c>
      <c r="I22" s="18"/>
      <c r="J22" s="104">
        <f t="shared" si="1"/>
        <v>-2.098432733848822</v>
      </c>
    </row>
    <row r="23" spans="1:10" ht="15">
      <c r="A23" s="23"/>
      <c r="B23" s="18" t="s">
        <v>46</v>
      </c>
      <c r="C23" s="18"/>
      <c r="D23" s="100">
        <f>+'BALANCE GENERAL 2016'!J36</f>
        <v>13482908</v>
      </c>
      <c r="E23" s="100"/>
      <c r="F23" s="100">
        <f>'[3]Capital_Trabajo'!$E$24+'[3]Capital_Trabajo'!$E$25</f>
        <v>-200264385</v>
      </c>
      <c r="G23" s="18"/>
      <c r="H23" s="77">
        <f t="shared" si="0"/>
        <v>213747293</v>
      </c>
      <c r="I23" s="18"/>
      <c r="J23" s="104">
        <f t="shared" si="1"/>
        <v>-1.0673255406846305</v>
      </c>
    </row>
    <row r="24" spans="1:10" ht="15">
      <c r="A24" s="23"/>
      <c r="B24" s="18" t="s">
        <v>276</v>
      </c>
      <c r="C24" s="18"/>
      <c r="D24" s="100">
        <f>+'BALANCE GENERAL 2016'!J37</f>
        <v>-472969</v>
      </c>
      <c r="E24" s="100"/>
      <c r="F24" s="100">
        <v>11891018.23</v>
      </c>
      <c r="G24" s="18"/>
      <c r="H24" s="77">
        <f t="shared" si="0"/>
        <v>-12363987.23</v>
      </c>
      <c r="I24" s="18"/>
      <c r="J24" s="104">
        <f t="shared" si="1"/>
        <v>-1.0397753153558154</v>
      </c>
    </row>
    <row r="25" spans="1:10" ht="15">
      <c r="A25" s="23"/>
      <c r="B25" s="18" t="s">
        <v>418</v>
      </c>
      <c r="C25" s="18"/>
      <c r="D25" s="100">
        <f>+'BALANCE GENERAL 2016'!J38+0.56</f>
        <v>75349057.11</v>
      </c>
      <c r="E25" s="100"/>
      <c r="F25" s="100">
        <f>-33729774+791865.81-52167.81</f>
        <v>-32990076</v>
      </c>
      <c r="G25" s="18"/>
      <c r="H25" s="77">
        <f t="shared" si="0"/>
        <v>108339133.11</v>
      </c>
      <c r="I25" s="18"/>
      <c r="J25" s="104">
        <f t="shared" si="1"/>
        <v>-3.283991619479749</v>
      </c>
    </row>
    <row r="26" spans="1:10" ht="15">
      <c r="A26" s="23"/>
      <c r="B26" s="18" t="s">
        <v>57</v>
      </c>
      <c r="C26" s="18"/>
      <c r="D26" s="102">
        <f>SUM('BALANCE GENERAL 2016'!J39:J41)</f>
        <v>-63022853</v>
      </c>
      <c r="E26" s="100"/>
      <c r="F26" s="102">
        <v>39848086</v>
      </c>
      <c r="G26" s="18"/>
      <c r="H26" s="76">
        <f t="shared" si="0"/>
        <v>-102870939</v>
      </c>
      <c r="I26" s="18"/>
      <c r="J26" s="105">
        <f t="shared" si="1"/>
        <v>-2.5815779207061538</v>
      </c>
    </row>
    <row r="27" spans="1:10" ht="15">
      <c r="A27" s="23"/>
      <c r="B27" s="18"/>
      <c r="C27" s="18"/>
      <c r="D27" s="100"/>
      <c r="E27" s="100"/>
      <c r="F27" s="100"/>
      <c r="G27" s="18"/>
      <c r="H27" s="77">
        <f t="shared" si="0"/>
        <v>0</v>
      </c>
      <c r="I27" s="18"/>
      <c r="J27" s="104"/>
    </row>
    <row r="28" spans="1:10" ht="15">
      <c r="A28" s="23"/>
      <c r="B28" s="21" t="s">
        <v>352</v>
      </c>
      <c r="C28" s="18"/>
      <c r="D28" s="20">
        <f>SUM(D18:D27)</f>
        <v>68392866.17</v>
      </c>
      <c r="E28" s="20"/>
      <c r="F28" s="20">
        <f>SUM(F18:F27)</f>
        <v>341843832.0200001</v>
      </c>
      <c r="G28" s="21"/>
      <c r="H28" s="35">
        <f t="shared" si="0"/>
        <v>-273450965.8500001</v>
      </c>
      <c r="I28" s="21"/>
      <c r="J28" s="31">
        <f t="shared" si="1"/>
        <v>-0.7999295006557304</v>
      </c>
    </row>
    <row r="29" spans="1:10" ht="15">
      <c r="A29" s="23"/>
      <c r="B29" s="18"/>
      <c r="C29" s="18"/>
      <c r="D29" s="100"/>
      <c r="E29" s="100"/>
      <c r="F29" s="100"/>
      <c r="G29" s="18"/>
      <c r="H29" s="77">
        <f t="shared" si="0"/>
        <v>0</v>
      </c>
      <c r="I29" s="18"/>
      <c r="J29" s="104"/>
    </row>
    <row r="30" spans="1:10" ht="15">
      <c r="A30" s="23"/>
      <c r="B30" s="21" t="s">
        <v>353</v>
      </c>
      <c r="C30" s="18"/>
      <c r="D30" s="100"/>
      <c r="E30" s="100"/>
      <c r="F30" s="100"/>
      <c r="G30" s="18"/>
      <c r="H30" s="77">
        <f t="shared" si="0"/>
        <v>0</v>
      </c>
      <c r="I30" s="18"/>
      <c r="J30" s="104"/>
    </row>
    <row r="31" spans="1:10" ht="15">
      <c r="A31" s="23"/>
      <c r="B31" s="18" t="s">
        <v>354</v>
      </c>
      <c r="C31" s="18"/>
      <c r="D31" s="100">
        <v>0</v>
      </c>
      <c r="E31" s="100"/>
      <c r="F31" s="100">
        <v>-1100000</v>
      </c>
      <c r="G31" s="18"/>
      <c r="H31" s="77">
        <f t="shared" si="0"/>
        <v>1100000</v>
      </c>
      <c r="I31" s="18"/>
      <c r="J31" s="104"/>
    </row>
    <row r="32" spans="1:10" ht="15">
      <c r="A32" s="23"/>
      <c r="B32" s="33" t="s">
        <v>355</v>
      </c>
      <c r="C32" s="18"/>
      <c r="D32" s="102">
        <f>-SUM('BALANCES 2015-2014'!H30:H35)</f>
        <v>-14872127</v>
      </c>
      <c r="E32" s="100"/>
      <c r="F32" s="102">
        <f>3155543+93-0.38</f>
        <v>3155635.62</v>
      </c>
      <c r="G32" s="18"/>
      <c r="H32" s="76">
        <f t="shared" si="0"/>
        <v>-18027762.62</v>
      </c>
      <c r="I32" s="18"/>
      <c r="J32" s="105">
        <f t="shared" si="1"/>
        <v>-5.712878415284209</v>
      </c>
    </row>
    <row r="33" spans="1:10" ht="15">
      <c r="A33" s="23"/>
      <c r="B33" s="21" t="s">
        <v>356</v>
      </c>
      <c r="C33" s="18"/>
      <c r="D33" s="20">
        <f>SUM(D31:D32)</f>
        <v>-14872127</v>
      </c>
      <c r="E33" s="20"/>
      <c r="F33" s="20">
        <f>SUM(F31:F32)</f>
        <v>2055635.62</v>
      </c>
      <c r="G33" s="20"/>
      <c r="H33" s="20">
        <f>SUM(H31:H32)</f>
        <v>-16927762.62</v>
      </c>
      <c r="I33" s="20"/>
      <c r="J33" s="110">
        <f>+J32</f>
        <v>-5.712878415284209</v>
      </c>
    </row>
    <row r="34" spans="1:10" ht="15">
      <c r="A34" s="23"/>
      <c r="B34" s="18"/>
      <c r="C34" s="18"/>
      <c r="D34" s="100"/>
      <c r="E34" s="100"/>
      <c r="F34" s="100"/>
      <c r="G34" s="18"/>
      <c r="H34" s="18"/>
      <c r="I34" s="18"/>
      <c r="J34" s="93"/>
    </row>
    <row r="35" spans="1:10" ht="15">
      <c r="A35" s="23"/>
      <c r="B35" s="18"/>
      <c r="C35" s="18"/>
      <c r="D35" s="100"/>
      <c r="E35" s="100"/>
      <c r="F35" s="100"/>
      <c r="G35" s="18"/>
      <c r="H35" s="18"/>
      <c r="I35" s="18"/>
      <c r="J35" s="93"/>
    </row>
    <row r="36" spans="1:10" ht="15">
      <c r="A36" s="23"/>
      <c r="B36" s="21" t="s">
        <v>357</v>
      </c>
      <c r="C36" s="18"/>
      <c r="D36" s="100"/>
      <c r="E36" s="100"/>
      <c r="F36" s="100"/>
      <c r="G36" s="18"/>
      <c r="H36" s="18"/>
      <c r="I36" s="18"/>
      <c r="J36" s="93"/>
    </row>
    <row r="37" spans="1:10" ht="15">
      <c r="A37" s="23"/>
      <c r="B37" s="18" t="s">
        <v>360</v>
      </c>
      <c r="C37" s="18"/>
      <c r="D37" s="100">
        <f>'BALANCE GENERAL 2016'!J35</f>
        <v>-149176985</v>
      </c>
      <c r="E37" s="100"/>
      <c r="F37" s="100">
        <v>62473166</v>
      </c>
      <c r="G37" s="18"/>
      <c r="H37" s="77">
        <f>+D37-F37</f>
        <v>-211650151</v>
      </c>
      <c r="I37" s="18"/>
      <c r="J37" s="104">
        <f>+H37/F37</f>
        <v>-3.3878569720638136</v>
      </c>
    </row>
    <row r="38" spans="1:10" ht="15">
      <c r="A38" s="23"/>
      <c r="B38" s="18" t="s">
        <v>358</v>
      </c>
      <c r="C38" s="18"/>
      <c r="D38" s="102">
        <f>+'BALANCE GENERAL 2016'!J47</f>
        <v>-422810.8100000024</v>
      </c>
      <c r="E38" s="100"/>
      <c r="F38" s="102">
        <v>29003229</v>
      </c>
      <c r="G38" s="18"/>
      <c r="H38" s="76">
        <f>+D38-F38</f>
        <v>-29426039.810000002</v>
      </c>
      <c r="I38" s="18"/>
      <c r="J38" s="105">
        <f>+H38/F38</f>
        <v>-1.014578059911881</v>
      </c>
    </row>
    <row r="39" spans="1:10" ht="15">
      <c r="A39" s="23"/>
      <c r="B39" s="21" t="s">
        <v>359</v>
      </c>
      <c r="C39" s="18"/>
      <c r="D39" s="20">
        <f>SUM(D37:D38)</f>
        <v>-149599795.81</v>
      </c>
      <c r="E39" s="20"/>
      <c r="F39" s="20">
        <f>SUM(F37:F38)</f>
        <v>91476395</v>
      </c>
      <c r="G39" s="20"/>
      <c r="H39" s="20">
        <f>SUM(H37:H38)</f>
        <v>-241076190.81</v>
      </c>
      <c r="I39" s="20"/>
      <c r="J39" s="32">
        <f>SUM(J37:J38)</f>
        <v>-4.402435031975695</v>
      </c>
    </row>
    <row r="40" spans="1:10" ht="15">
      <c r="A40" s="23"/>
      <c r="B40" s="18"/>
      <c r="C40" s="18"/>
      <c r="D40" s="20"/>
      <c r="E40" s="20"/>
      <c r="F40" s="20"/>
      <c r="G40" s="21"/>
      <c r="H40" s="21"/>
      <c r="I40" s="21"/>
      <c r="J40" s="111"/>
    </row>
    <row r="41" spans="1:12" ht="15">
      <c r="A41" s="23"/>
      <c r="B41" s="21" t="s">
        <v>361</v>
      </c>
      <c r="C41" s="18"/>
      <c r="D41" s="20">
        <f>+D15+D28+D33+D39</f>
        <v>-53574486.48000038</v>
      </c>
      <c r="E41" s="20"/>
      <c r="F41" s="20">
        <f>+F15+F28+F33+F39</f>
        <v>502329768.79999954</v>
      </c>
      <c r="G41" s="18"/>
      <c r="H41" s="18"/>
      <c r="I41" s="18"/>
      <c r="J41" s="93"/>
      <c r="K41" s="12"/>
      <c r="L41" s="135"/>
    </row>
    <row r="42" spans="1:10" ht="15">
      <c r="A42" s="23"/>
      <c r="B42" s="18"/>
      <c r="C42" s="18"/>
      <c r="D42" s="100"/>
      <c r="E42" s="100"/>
      <c r="F42" s="100"/>
      <c r="G42" s="18"/>
      <c r="H42" s="18"/>
      <c r="I42" s="18"/>
      <c r="J42" s="93"/>
    </row>
    <row r="43" spans="1:10" ht="15">
      <c r="A43" s="23"/>
      <c r="B43" s="21" t="s">
        <v>362</v>
      </c>
      <c r="C43" s="18"/>
      <c r="D43" s="100">
        <f>+F45</f>
        <v>354099763.58</v>
      </c>
      <c r="E43" s="100"/>
      <c r="F43" s="100">
        <v>354061830.46</v>
      </c>
      <c r="G43" s="18"/>
      <c r="H43" s="18"/>
      <c r="I43" s="18"/>
      <c r="J43" s="93"/>
    </row>
    <row r="44" spans="1:10" ht="15">
      <c r="A44" s="23"/>
      <c r="B44" s="18"/>
      <c r="C44" s="18"/>
      <c r="D44" s="100"/>
      <c r="E44" s="100"/>
      <c r="F44" s="100"/>
      <c r="G44" s="18"/>
      <c r="H44" s="18"/>
      <c r="I44" s="18"/>
      <c r="J44" s="93"/>
    </row>
    <row r="45" spans="1:10" ht="15">
      <c r="A45" s="23"/>
      <c r="B45" s="21" t="s">
        <v>363</v>
      </c>
      <c r="C45" s="18"/>
      <c r="D45" s="100">
        <f>+D41+D43</f>
        <v>300525277.0999996</v>
      </c>
      <c r="E45" s="100"/>
      <c r="F45" s="100">
        <v>354099763.58</v>
      </c>
      <c r="G45" s="18"/>
      <c r="H45" s="18"/>
      <c r="I45" s="18"/>
      <c r="J45" s="93"/>
    </row>
    <row r="46" spans="1:10" ht="15">
      <c r="A46" s="23"/>
      <c r="B46" s="18"/>
      <c r="C46" s="18"/>
      <c r="D46" s="100"/>
      <c r="E46" s="100"/>
      <c r="F46" s="100"/>
      <c r="G46" s="18"/>
      <c r="H46" s="77"/>
      <c r="I46" s="18"/>
      <c r="J46" s="93"/>
    </row>
    <row r="47" spans="1:10" ht="15">
      <c r="A47" s="23"/>
      <c r="B47" s="18"/>
      <c r="C47" s="18"/>
      <c r="D47" s="100"/>
      <c r="E47" s="100"/>
      <c r="F47" s="100"/>
      <c r="G47" s="18"/>
      <c r="H47" s="18"/>
      <c r="I47" s="18"/>
      <c r="J47" s="93"/>
    </row>
    <row r="48" spans="1:10" ht="15">
      <c r="A48" s="23"/>
      <c r="B48" s="18"/>
      <c r="C48" s="18"/>
      <c r="D48" s="100"/>
      <c r="E48" s="100"/>
      <c r="F48" s="100"/>
      <c r="G48" s="18"/>
      <c r="H48" s="18"/>
      <c r="I48" s="18"/>
      <c r="J48" s="93"/>
    </row>
    <row r="49" spans="1:10" ht="15">
      <c r="A49" s="23"/>
      <c r="B49" s="21" t="s">
        <v>112</v>
      </c>
      <c r="C49" s="96"/>
      <c r="D49" s="492" t="s">
        <v>112</v>
      </c>
      <c r="E49" s="492"/>
      <c r="F49" s="492"/>
      <c r="G49" s="18"/>
      <c r="H49" s="487" t="s">
        <v>112</v>
      </c>
      <c r="I49" s="487"/>
      <c r="J49" s="488"/>
    </row>
    <row r="50" spans="1:10" ht="15">
      <c r="A50" s="23"/>
      <c r="B50" s="21" t="s">
        <v>113</v>
      </c>
      <c r="C50" s="96"/>
      <c r="D50" s="492" t="s">
        <v>115</v>
      </c>
      <c r="E50" s="492"/>
      <c r="F50" s="492"/>
      <c r="G50" s="18"/>
      <c r="H50" s="487" t="s">
        <v>118</v>
      </c>
      <c r="I50" s="487"/>
      <c r="J50" s="488"/>
    </row>
    <row r="51" spans="1:10" ht="15">
      <c r="A51" s="23"/>
      <c r="B51" s="21" t="s">
        <v>114</v>
      </c>
      <c r="C51" s="96"/>
      <c r="D51" s="492" t="s">
        <v>116</v>
      </c>
      <c r="E51" s="492"/>
      <c r="F51" s="492"/>
      <c r="G51" s="18"/>
      <c r="H51" s="487" t="s">
        <v>119</v>
      </c>
      <c r="I51" s="487"/>
      <c r="J51" s="488"/>
    </row>
    <row r="52" spans="1:10" ht="15">
      <c r="A52" s="23"/>
      <c r="B52" s="18"/>
      <c r="C52" s="96"/>
      <c r="D52" s="21" t="s">
        <v>117</v>
      </c>
      <c r="E52" s="18"/>
      <c r="F52" s="100"/>
      <c r="G52" s="18"/>
      <c r="H52" s="21" t="s">
        <v>120</v>
      </c>
      <c r="I52" s="97"/>
      <c r="J52" s="37"/>
    </row>
    <row r="53" spans="1:10" ht="15">
      <c r="A53" s="23"/>
      <c r="B53" s="18"/>
      <c r="C53" s="96"/>
      <c r="D53" s="18"/>
      <c r="E53" s="18"/>
      <c r="F53" s="100"/>
      <c r="G53" s="18"/>
      <c r="H53" s="20" t="s">
        <v>121</v>
      </c>
      <c r="I53" s="18"/>
      <c r="J53" s="26"/>
    </row>
    <row r="54" spans="1:10" ht="15.75" thickBot="1">
      <c r="A54" s="38"/>
      <c r="B54" s="39"/>
      <c r="C54" s="40"/>
      <c r="D54" s="40"/>
      <c r="E54" s="40"/>
      <c r="F54" s="39"/>
      <c r="G54" s="39"/>
      <c r="H54" s="39"/>
      <c r="I54" s="39"/>
      <c r="J54" s="95"/>
    </row>
    <row r="55" spans="4:6" ht="15">
      <c r="D55" s="99"/>
      <c r="E55" s="99"/>
      <c r="F55" s="99"/>
    </row>
    <row r="56" spans="4:6" ht="15">
      <c r="D56" s="99"/>
      <c r="E56" s="99"/>
      <c r="F56" s="99"/>
    </row>
    <row r="57" spans="4:6" ht="15">
      <c r="D57" s="99"/>
      <c r="E57" s="99"/>
      <c r="F57" s="99"/>
    </row>
    <row r="58" spans="4:6" ht="15">
      <c r="D58" s="99"/>
      <c r="E58" s="99"/>
      <c r="F58" s="99"/>
    </row>
    <row r="59" spans="4:6" ht="15">
      <c r="D59" s="99"/>
      <c r="E59" s="99"/>
      <c r="F59" s="99"/>
    </row>
    <row r="60" spans="4:6" ht="15">
      <c r="D60" s="99"/>
      <c r="E60" s="99"/>
      <c r="F60" s="99"/>
    </row>
    <row r="61" spans="4:6" ht="15">
      <c r="D61" s="99"/>
      <c r="E61" s="99"/>
      <c r="F61" s="99"/>
    </row>
    <row r="62" spans="4:6" ht="15">
      <c r="D62" s="99"/>
      <c r="E62" s="99"/>
      <c r="F62" s="99"/>
    </row>
    <row r="63" spans="4:6" ht="15">
      <c r="D63" s="99"/>
      <c r="E63" s="99"/>
      <c r="F63" s="99"/>
    </row>
    <row r="64" spans="4:6" ht="15">
      <c r="D64" s="99"/>
      <c r="E64" s="99"/>
      <c r="F64" s="99"/>
    </row>
    <row r="65" spans="4:6" ht="15">
      <c r="D65" s="99"/>
      <c r="E65" s="99"/>
      <c r="F65" s="99"/>
    </row>
    <row r="66" spans="4:6" ht="15">
      <c r="D66" s="99"/>
      <c r="E66" s="99"/>
      <c r="F66" s="99"/>
    </row>
    <row r="67" spans="4:6" ht="15">
      <c r="D67" s="99"/>
      <c r="E67" s="99"/>
      <c r="F67" s="99"/>
    </row>
    <row r="68" spans="4:6" ht="15">
      <c r="D68" s="99"/>
      <c r="E68" s="99"/>
      <c r="F68" s="99"/>
    </row>
    <row r="69" spans="4:6" ht="15">
      <c r="D69" s="99"/>
      <c r="E69" s="99"/>
      <c r="F69" s="99"/>
    </row>
    <row r="70" spans="4:6" ht="15">
      <c r="D70" s="99"/>
      <c r="E70" s="99"/>
      <c r="F70" s="99"/>
    </row>
    <row r="71" spans="4:6" ht="15">
      <c r="D71" s="99"/>
      <c r="E71" s="99"/>
      <c r="F71" s="99"/>
    </row>
    <row r="72" spans="4:6" ht="15">
      <c r="D72" s="99"/>
      <c r="E72" s="99"/>
      <c r="F72" s="99"/>
    </row>
    <row r="73" spans="4:6" ht="15">
      <c r="D73" s="99"/>
      <c r="E73" s="99"/>
      <c r="F73" s="99"/>
    </row>
    <row r="74" spans="4:6" ht="15">
      <c r="D74" s="99"/>
      <c r="E74" s="99"/>
      <c r="F74" s="99"/>
    </row>
    <row r="75" spans="4:6" ht="15">
      <c r="D75" s="99"/>
      <c r="E75" s="99"/>
      <c r="F75" s="99"/>
    </row>
    <row r="76" spans="4:6" ht="15">
      <c r="D76" s="99"/>
      <c r="E76" s="99"/>
      <c r="F76" s="99"/>
    </row>
    <row r="77" spans="4:6" ht="15">
      <c r="D77" s="99"/>
      <c r="E77" s="99"/>
      <c r="F77" s="99"/>
    </row>
    <row r="78" spans="4:6" ht="15">
      <c r="D78" s="99"/>
      <c r="E78" s="99"/>
      <c r="F78" s="99"/>
    </row>
    <row r="79" spans="4:6" ht="15">
      <c r="D79" s="99"/>
      <c r="E79" s="99"/>
      <c r="F79" s="99"/>
    </row>
    <row r="80" spans="4:6" ht="15">
      <c r="D80" s="99"/>
      <c r="E80" s="99"/>
      <c r="F80" s="99"/>
    </row>
    <row r="81" spans="4:6" ht="15">
      <c r="D81" s="99"/>
      <c r="E81" s="99"/>
      <c r="F81" s="99"/>
    </row>
    <row r="82" spans="4:6" ht="15">
      <c r="D82" s="99"/>
      <c r="E82" s="99"/>
      <c r="F82" s="99"/>
    </row>
    <row r="83" spans="4:6" ht="15">
      <c r="D83" s="99"/>
      <c r="E83" s="99"/>
      <c r="F83" s="99"/>
    </row>
    <row r="84" spans="4:6" ht="15">
      <c r="D84" s="99"/>
      <c r="E84" s="99"/>
      <c r="F84" s="99"/>
    </row>
    <row r="85" spans="4:6" ht="15">
      <c r="D85" s="99"/>
      <c r="E85" s="99"/>
      <c r="F85" s="99"/>
    </row>
    <row r="86" spans="4:6" ht="15">
      <c r="D86" s="99"/>
      <c r="E86" s="99"/>
      <c r="F86" s="99"/>
    </row>
    <row r="87" spans="4:6" ht="15">
      <c r="D87" s="99"/>
      <c r="E87" s="99"/>
      <c r="F87" s="99"/>
    </row>
    <row r="88" spans="4:6" ht="15">
      <c r="D88" s="99"/>
      <c r="E88" s="99"/>
      <c r="F88" s="99"/>
    </row>
    <row r="89" spans="4:6" ht="15">
      <c r="D89" s="99"/>
      <c r="E89" s="99"/>
      <c r="F89" s="99"/>
    </row>
    <row r="90" spans="4:6" ht="15">
      <c r="D90" s="99"/>
      <c r="E90" s="99"/>
      <c r="F90" s="99"/>
    </row>
    <row r="91" spans="4:6" ht="15">
      <c r="D91" s="99"/>
      <c r="E91" s="99"/>
      <c r="F91" s="99"/>
    </row>
    <row r="92" spans="4:6" ht="15">
      <c r="D92" s="99"/>
      <c r="E92" s="99"/>
      <c r="F92" s="99"/>
    </row>
    <row r="93" spans="4:6" ht="15">
      <c r="D93" s="99"/>
      <c r="E93" s="99"/>
      <c r="F93" s="99"/>
    </row>
    <row r="94" spans="4:6" ht="15">
      <c r="D94" s="99"/>
      <c r="E94" s="99"/>
      <c r="F94" s="99"/>
    </row>
    <row r="95" spans="4:6" ht="15">
      <c r="D95" s="99"/>
      <c r="E95" s="99"/>
      <c r="F95" s="99"/>
    </row>
    <row r="96" spans="4:6" ht="15">
      <c r="D96" s="99"/>
      <c r="E96" s="99"/>
      <c r="F96" s="99"/>
    </row>
    <row r="97" spans="4:6" ht="15">
      <c r="D97" s="99"/>
      <c r="E97" s="99"/>
      <c r="F97" s="99"/>
    </row>
    <row r="98" spans="4:6" ht="15">
      <c r="D98" s="99"/>
      <c r="E98" s="99"/>
      <c r="F98" s="99"/>
    </row>
    <row r="99" spans="4:6" ht="15">
      <c r="D99" s="99"/>
      <c r="E99" s="99"/>
      <c r="F99" s="99"/>
    </row>
    <row r="100" spans="4:6" ht="15">
      <c r="D100" s="99"/>
      <c r="E100" s="99"/>
      <c r="F100" s="99"/>
    </row>
    <row r="101" spans="4:6" ht="15">
      <c r="D101" s="99"/>
      <c r="E101" s="99"/>
      <c r="F101" s="99"/>
    </row>
    <row r="102" spans="4:6" ht="15">
      <c r="D102" s="99"/>
      <c r="E102" s="99"/>
      <c r="F102" s="99"/>
    </row>
    <row r="103" spans="4:6" ht="15">
      <c r="D103" s="99"/>
      <c r="E103" s="99"/>
      <c r="F103" s="99"/>
    </row>
    <row r="104" spans="4:6" ht="15">
      <c r="D104" s="99"/>
      <c r="E104" s="99"/>
      <c r="F104" s="99"/>
    </row>
    <row r="105" spans="4:6" ht="15">
      <c r="D105" s="99"/>
      <c r="E105" s="99"/>
      <c r="F105" s="99"/>
    </row>
    <row r="106" spans="4:6" ht="15">
      <c r="D106" s="99"/>
      <c r="E106" s="99"/>
      <c r="F106" s="99"/>
    </row>
    <row r="107" spans="4:6" ht="15">
      <c r="D107" s="99"/>
      <c r="E107" s="99"/>
      <c r="F107" s="99"/>
    </row>
    <row r="108" spans="4:6" ht="15">
      <c r="D108" s="99"/>
      <c r="E108" s="99"/>
      <c r="F108" s="99"/>
    </row>
    <row r="109" spans="4:6" ht="15">
      <c r="D109" s="99"/>
      <c r="E109" s="99"/>
      <c r="F109" s="99"/>
    </row>
    <row r="110" spans="4:6" ht="15">
      <c r="D110" s="99"/>
      <c r="E110" s="99"/>
      <c r="F110" s="99"/>
    </row>
    <row r="111" spans="4:6" ht="15">
      <c r="D111" s="99"/>
      <c r="E111" s="99"/>
      <c r="F111" s="99"/>
    </row>
    <row r="112" spans="4:6" ht="15">
      <c r="D112" s="99"/>
      <c r="E112" s="99"/>
      <c r="F112" s="99"/>
    </row>
    <row r="113" spans="4:6" ht="15">
      <c r="D113" s="99"/>
      <c r="E113" s="99"/>
      <c r="F113" s="99"/>
    </row>
    <row r="114" spans="4:6" ht="15">
      <c r="D114" s="99"/>
      <c r="E114" s="99"/>
      <c r="F114" s="99"/>
    </row>
    <row r="115" spans="4:6" ht="15">
      <c r="D115" s="99"/>
      <c r="E115" s="99"/>
      <c r="F115" s="99"/>
    </row>
    <row r="116" spans="4:6" ht="15">
      <c r="D116" s="99"/>
      <c r="E116" s="99"/>
      <c r="F116" s="99"/>
    </row>
    <row r="117" spans="4:6" ht="15">
      <c r="D117" s="99"/>
      <c r="E117" s="99"/>
      <c r="F117" s="99"/>
    </row>
    <row r="118" spans="4:6" ht="15">
      <c r="D118" s="99"/>
      <c r="E118" s="99"/>
      <c r="F118" s="99"/>
    </row>
    <row r="119" spans="4:6" ht="15">
      <c r="D119" s="99"/>
      <c r="E119" s="99"/>
      <c r="F119" s="99"/>
    </row>
    <row r="120" spans="4:6" ht="15">
      <c r="D120" s="99"/>
      <c r="E120" s="99"/>
      <c r="F120" s="99"/>
    </row>
    <row r="121" spans="4:6" ht="15">
      <c r="D121" s="99"/>
      <c r="E121" s="99"/>
      <c r="F121" s="99"/>
    </row>
    <row r="122" spans="4:6" ht="15">
      <c r="D122" s="99"/>
      <c r="E122" s="99"/>
      <c r="F122" s="99"/>
    </row>
    <row r="123" spans="4:6" ht="15">
      <c r="D123" s="99"/>
      <c r="E123" s="99"/>
      <c r="F123" s="99"/>
    </row>
    <row r="124" spans="4:6" ht="15">
      <c r="D124" s="99"/>
      <c r="E124" s="99"/>
      <c r="F124" s="99"/>
    </row>
    <row r="125" spans="4:6" ht="15">
      <c r="D125" s="99"/>
      <c r="E125" s="99"/>
      <c r="F125" s="99"/>
    </row>
    <row r="126" spans="4:6" ht="15">
      <c r="D126" s="99"/>
      <c r="E126" s="99"/>
      <c r="F126" s="99"/>
    </row>
    <row r="127" spans="4:6" ht="15">
      <c r="D127" s="99"/>
      <c r="E127" s="99"/>
      <c r="F127" s="99"/>
    </row>
    <row r="128" spans="4:6" ht="15">
      <c r="D128" s="99"/>
      <c r="E128" s="99"/>
      <c r="F128" s="99"/>
    </row>
    <row r="129" spans="4:6" ht="15">
      <c r="D129" s="99"/>
      <c r="E129" s="99"/>
      <c r="F129" s="99"/>
    </row>
    <row r="130" spans="4:6" ht="15">
      <c r="D130" s="99"/>
      <c r="E130" s="99"/>
      <c r="F130" s="99"/>
    </row>
    <row r="131" spans="4:6" ht="15">
      <c r="D131" s="99"/>
      <c r="E131" s="99"/>
      <c r="F131" s="99"/>
    </row>
    <row r="132" spans="4:6" ht="15">
      <c r="D132" s="99"/>
      <c r="E132" s="99"/>
      <c r="F132" s="99"/>
    </row>
    <row r="133" spans="4:6" ht="15">
      <c r="D133" s="99"/>
      <c r="E133" s="99"/>
      <c r="F133" s="99"/>
    </row>
    <row r="134" spans="4:6" ht="15">
      <c r="D134" s="99"/>
      <c r="E134" s="99"/>
      <c r="F134" s="99"/>
    </row>
    <row r="135" spans="4:6" ht="15">
      <c r="D135" s="99"/>
      <c r="E135" s="99"/>
      <c r="F135" s="99"/>
    </row>
    <row r="136" spans="4:6" ht="15">
      <c r="D136" s="99"/>
      <c r="E136" s="99"/>
      <c r="F136" s="99"/>
    </row>
    <row r="137" spans="4:6" ht="15">
      <c r="D137" s="99"/>
      <c r="E137" s="99"/>
      <c r="F137" s="99"/>
    </row>
    <row r="138" spans="4:6" ht="15">
      <c r="D138" s="99"/>
      <c r="E138" s="99"/>
      <c r="F138" s="99"/>
    </row>
    <row r="139" spans="4:6" ht="15">
      <c r="D139" s="99"/>
      <c r="E139" s="99"/>
      <c r="F139" s="99"/>
    </row>
    <row r="140" spans="4:6" ht="15">
      <c r="D140" s="99"/>
      <c r="E140" s="99"/>
      <c r="F140" s="99"/>
    </row>
    <row r="141" spans="4:6" ht="15">
      <c r="D141" s="99"/>
      <c r="E141" s="99"/>
      <c r="F141" s="99"/>
    </row>
    <row r="142" spans="4:6" ht="15">
      <c r="D142" s="99"/>
      <c r="E142" s="99"/>
      <c r="F142" s="99"/>
    </row>
    <row r="143" spans="4:6" ht="15">
      <c r="D143" s="99"/>
      <c r="E143" s="99"/>
      <c r="F143" s="99"/>
    </row>
    <row r="144" spans="4:6" ht="15">
      <c r="D144" s="99"/>
      <c r="E144" s="99"/>
      <c r="F144" s="99"/>
    </row>
    <row r="145" spans="4:6" ht="15">
      <c r="D145" s="99"/>
      <c r="E145" s="99"/>
      <c r="F145" s="99"/>
    </row>
    <row r="146" spans="4:6" ht="15">
      <c r="D146" s="99"/>
      <c r="E146" s="99"/>
      <c r="F146" s="99"/>
    </row>
    <row r="147" spans="4:6" ht="15">
      <c r="D147" s="99"/>
      <c r="E147" s="99"/>
      <c r="F147" s="99"/>
    </row>
    <row r="148" spans="4:6" ht="15">
      <c r="D148" s="99"/>
      <c r="E148" s="99"/>
      <c r="F148" s="99"/>
    </row>
    <row r="149" spans="4:6" ht="15">
      <c r="D149" s="99"/>
      <c r="E149" s="99"/>
      <c r="F149" s="99"/>
    </row>
    <row r="150" spans="4:6" ht="15">
      <c r="D150" s="99"/>
      <c r="E150" s="99"/>
      <c r="F150" s="99"/>
    </row>
  </sheetData>
  <sheetProtection/>
  <mergeCells count="9">
    <mergeCell ref="D51:F51"/>
    <mergeCell ref="H51:J51"/>
    <mergeCell ref="B1:J1"/>
    <mergeCell ref="B2:J2"/>
    <mergeCell ref="B3:J3"/>
    <mergeCell ref="D49:F49"/>
    <mergeCell ref="H49:J49"/>
    <mergeCell ref="D50:F50"/>
    <mergeCell ref="H50:J5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37">
      <selection activeCell="K43" sqref="K43"/>
    </sheetView>
  </sheetViews>
  <sheetFormatPr defaultColWidth="11.421875" defaultRowHeight="15"/>
  <cols>
    <col min="1" max="1" width="3.140625" style="0" customWidth="1"/>
    <col min="2" max="2" width="45.8515625" style="0" customWidth="1"/>
    <col min="3" max="3" width="9.140625" style="0" customWidth="1"/>
    <col min="4" max="4" width="17.421875" style="99" bestFit="1" customWidth="1"/>
    <col min="5" max="5" width="4.28125" style="0" customWidth="1"/>
    <col min="6" max="6" width="17.421875" style="99" bestFit="1" customWidth="1"/>
    <col min="7" max="7" width="4.7109375" style="0" customWidth="1"/>
    <col min="8" max="8" width="17.421875" style="0" bestFit="1" customWidth="1"/>
    <col min="9" max="9" width="2.7109375" style="0" customWidth="1"/>
    <col min="11" max="11" width="12.7109375" style="0" bestFit="1" customWidth="1"/>
    <col min="12" max="12" width="17.421875" style="0" bestFit="1" customWidth="1"/>
  </cols>
  <sheetData>
    <row r="1" spans="1:10" ht="15">
      <c r="A1" s="22"/>
      <c r="B1" s="489" t="s">
        <v>91</v>
      </c>
      <c r="C1" s="489"/>
      <c r="D1" s="489"/>
      <c r="E1" s="489"/>
      <c r="F1" s="489"/>
      <c r="G1" s="489"/>
      <c r="H1" s="489"/>
      <c r="I1" s="489"/>
      <c r="J1" s="494"/>
    </row>
    <row r="2" spans="1:10" ht="15">
      <c r="A2" s="23"/>
      <c r="B2" s="490" t="s">
        <v>323</v>
      </c>
      <c r="C2" s="490"/>
      <c r="D2" s="490"/>
      <c r="E2" s="490"/>
      <c r="F2" s="490"/>
      <c r="G2" s="490"/>
      <c r="H2" s="490"/>
      <c r="I2" s="490"/>
      <c r="J2" s="495"/>
    </row>
    <row r="3" spans="1:10" ht="15">
      <c r="A3" s="23"/>
      <c r="B3" s="490" t="s">
        <v>93</v>
      </c>
      <c r="C3" s="490"/>
      <c r="D3" s="490"/>
      <c r="E3" s="490"/>
      <c r="F3" s="490"/>
      <c r="G3" s="490"/>
      <c r="H3" s="490"/>
      <c r="I3" s="490"/>
      <c r="J3" s="495"/>
    </row>
    <row r="4" spans="1:10" ht="15">
      <c r="A4" s="23"/>
      <c r="B4" s="24"/>
      <c r="C4" s="24"/>
      <c r="D4" s="98"/>
      <c r="E4" s="18"/>
      <c r="F4" s="100"/>
      <c r="G4" s="18"/>
      <c r="H4" s="18"/>
      <c r="I4" s="18"/>
      <c r="J4" s="93"/>
    </row>
    <row r="5" spans="1:10" ht="15">
      <c r="A5" s="23"/>
      <c r="B5" s="24"/>
      <c r="C5" s="24"/>
      <c r="D5" s="27">
        <v>2015</v>
      </c>
      <c r="E5" s="101"/>
      <c r="F5" s="27">
        <v>2014</v>
      </c>
      <c r="G5" s="18"/>
      <c r="H5" s="20" t="s">
        <v>81</v>
      </c>
      <c r="I5" s="21"/>
      <c r="J5" s="28" t="s">
        <v>82</v>
      </c>
    </row>
    <row r="6" spans="1:10" ht="15">
      <c r="A6" s="23"/>
      <c r="B6" s="24"/>
      <c r="C6" s="24"/>
      <c r="D6" s="27"/>
      <c r="E6" s="101"/>
      <c r="F6" s="27"/>
      <c r="G6" s="18"/>
      <c r="H6" s="20"/>
      <c r="I6" s="21"/>
      <c r="J6" s="28"/>
    </row>
    <row r="7" spans="1:10" ht="15">
      <c r="A7" s="23"/>
      <c r="B7" s="21" t="s">
        <v>324</v>
      </c>
      <c r="C7" s="18"/>
      <c r="D7" s="100"/>
      <c r="E7" s="18"/>
      <c r="F7" s="100"/>
      <c r="G7" s="18"/>
      <c r="H7" s="18"/>
      <c r="I7" s="18"/>
      <c r="J7" s="93"/>
    </row>
    <row r="8" spans="1:10" ht="15">
      <c r="A8" s="23"/>
      <c r="B8" s="18"/>
      <c r="C8" s="18"/>
      <c r="D8" s="100"/>
      <c r="E8" s="18"/>
      <c r="F8" s="100"/>
      <c r="G8" s="18"/>
      <c r="H8" s="18"/>
      <c r="I8" s="18"/>
      <c r="J8" s="93"/>
    </row>
    <row r="9" spans="1:10" ht="15">
      <c r="A9" s="23"/>
      <c r="B9" s="21" t="s">
        <v>325</v>
      </c>
      <c r="C9" s="21"/>
      <c r="D9" s="20">
        <f>+'EST RESULTADOS'!D101</f>
        <v>35843563.26999962</v>
      </c>
      <c r="E9" s="21"/>
      <c r="F9" s="20">
        <v>-454726097.52</v>
      </c>
      <c r="G9" s="18"/>
      <c r="H9" s="77">
        <f>+D9-F9</f>
        <v>490569660.7899996</v>
      </c>
      <c r="I9" s="18"/>
      <c r="J9" s="104">
        <f>+H9/F9</f>
        <v>-1.0788245131860352</v>
      </c>
    </row>
    <row r="10" spans="1:10" ht="15">
      <c r="A10" s="23"/>
      <c r="B10" s="18" t="s">
        <v>167</v>
      </c>
      <c r="C10" s="18"/>
      <c r="D10" s="100">
        <f>+'EST RESULTADOS'!D74+'EST RESULTADOS'!D19+'EST RESULTADOS'!D46</f>
        <v>21602098.13</v>
      </c>
      <c r="E10" s="18"/>
      <c r="F10" s="100">
        <v>34428913</v>
      </c>
      <c r="G10" s="18"/>
      <c r="H10" s="77">
        <f>+D10-F10</f>
        <v>-12826814.870000001</v>
      </c>
      <c r="I10" s="18"/>
      <c r="J10" s="104">
        <f>+H10/F10</f>
        <v>-0.3725593912883628</v>
      </c>
    </row>
    <row r="11" spans="1:10" ht="15">
      <c r="A11" s="23"/>
      <c r="B11" s="18" t="s">
        <v>35</v>
      </c>
      <c r="C11" s="18"/>
      <c r="D11" s="102">
        <f>-'BALANCE GENERAL 2016'!J20</f>
        <v>-880651.1899999976</v>
      </c>
      <c r="E11" s="18"/>
      <c r="F11" s="102">
        <v>-15040743.63</v>
      </c>
      <c r="G11" s="18"/>
      <c r="H11" s="76">
        <f>+D11-F11</f>
        <v>14160092.440000003</v>
      </c>
      <c r="I11" s="18"/>
      <c r="J11" s="105">
        <f>+H11/F11</f>
        <v>-0.9414489594621195</v>
      </c>
    </row>
    <row r="12" spans="1:10" ht="15">
      <c r="A12" s="23"/>
      <c r="B12" s="21" t="s">
        <v>326</v>
      </c>
      <c r="C12" s="21"/>
      <c r="D12" s="20">
        <f>SUM(D9:D11)</f>
        <v>56565010.20999962</v>
      </c>
      <c r="E12" s="21"/>
      <c r="F12" s="20">
        <f>SUM(F9:F11)</f>
        <v>-435337928.15</v>
      </c>
      <c r="G12" s="18"/>
      <c r="H12" s="35">
        <f>+D12-F12</f>
        <v>491902938.3599996</v>
      </c>
      <c r="I12" s="18"/>
      <c r="J12" s="31">
        <f>+H12/F12</f>
        <v>-1.1299335678156432</v>
      </c>
    </row>
    <row r="13" spans="1:10" ht="15">
      <c r="A13" s="23"/>
      <c r="B13" s="18"/>
      <c r="C13" s="18"/>
      <c r="D13" s="100"/>
      <c r="E13" s="18"/>
      <c r="F13" s="100"/>
      <c r="G13" s="18"/>
      <c r="H13" s="18"/>
      <c r="I13" s="18"/>
      <c r="J13" s="93"/>
    </row>
    <row r="14" spans="1:10" ht="15">
      <c r="A14" s="23"/>
      <c r="B14" s="21" t="s">
        <v>327</v>
      </c>
      <c r="C14" s="18"/>
      <c r="D14" s="100"/>
      <c r="E14" s="18"/>
      <c r="F14" s="100"/>
      <c r="G14" s="18"/>
      <c r="H14" s="18"/>
      <c r="I14" s="18"/>
      <c r="J14" s="93"/>
    </row>
    <row r="15" spans="1:10" ht="15">
      <c r="A15" s="23"/>
      <c r="B15" s="21" t="s">
        <v>414</v>
      </c>
      <c r="C15" s="18"/>
      <c r="D15" s="113"/>
      <c r="E15" s="18"/>
      <c r="F15" s="113"/>
      <c r="G15" s="18"/>
      <c r="H15" s="18"/>
      <c r="I15" s="18"/>
      <c r="J15" s="93"/>
    </row>
    <row r="16" spans="1:10" ht="15">
      <c r="A16" s="23"/>
      <c r="B16" s="149" t="s">
        <v>424</v>
      </c>
      <c r="C16" s="18"/>
      <c r="D16" s="144">
        <v>116033553.37</v>
      </c>
      <c r="E16" s="144"/>
      <c r="F16" s="144">
        <v>37932.21</v>
      </c>
      <c r="G16" s="144"/>
      <c r="H16" s="77">
        <f>+D16-F16</f>
        <v>115995621.16000001</v>
      </c>
      <c r="I16" s="18"/>
      <c r="J16" s="104">
        <f>+H16/F16</f>
        <v>3057.9716067162976</v>
      </c>
    </row>
    <row r="17" spans="1:10" ht="15">
      <c r="A17" s="23"/>
      <c r="B17" s="23" t="s">
        <v>87</v>
      </c>
      <c r="C17" s="18"/>
      <c r="D17" s="144"/>
      <c r="E17" s="144"/>
      <c r="F17" s="144">
        <v>1100000</v>
      </c>
      <c r="G17" s="144"/>
      <c r="H17" s="77">
        <f aca="true" t="shared" si="0" ref="H17:H24">+D17-F17</f>
        <v>-1100000</v>
      </c>
      <c r="I17" s="18"/>
      <c r="J17" s="104">
        <f aca="true" t="shared" si="1" ref="J17:J24">+H17/F17</f>
        <v>-1</v>
      </c>
    </row>
    <row r="18" spans="1:10" ht="15">
      <c r="A18" s="23"/>
      <c r="B18" s="23" t="s">
        <v>415</v>
      </c>
      <c r="C18" s="18"/>
      <c r="D18" s="113">
        <v>3413002.88999999</v>
      </c>
      <c r="E18" s="113"/>
      <c r="F18" s="113">
        <v>-29174432</v>
      </c>
      <c r="G18" s="144"/>
      <c r="H18" s="77">
        <f t="shared" si="0"/>
        <v>32587434.88999999</v>
      </c>
      <c r="I18" s="18"/>
      <c r="J18" s="104">
        <f t="shared" si="1"/>
        <v>-1.1169860955647737</v>
      </c>
    </row>
    <row r="19" spans="1:10" ht="15">
      <c r="A19" s="23"/>
      <c r="B19" s="23" t="s">
        <v>416</v>
      </c>
      <c r="C19" s="18"/>
      <c r="D19" s="113">
        <v>14996451.46</v>
      </c>
      <c r="E19" s="113"/>
      <c r="F19" s="113">
        <v>-139633713.65</v>
      </c>
      <c r="G19" s="144"/>
      <c r="H19" s="77">
        <f t="shared" si="0"/>
        <v>154630165.11</v>
      </c>
      <c r="I19" s="18"/>
      <c r="J19" s="104">
        <f t="shared" si="1"/>
        <v>-1.1073985004623559</v>
      </c>
    </row>
    <row r="20" spans="1:10" ht="15">
      <c r="A20" s="23"/>
      <c r="B20" s="23" t="s">
        <v>417</v>
      </c>
      <c r="C20" s="18"/>
      <c r="D20" s="113">
        <v>13507995.74</v>
      </c>
      <c r="E20" s="113"/>
      <c r="F20" s="113">
        <v>-6476774</v>
      </c>
      <c r="G20" s="144"/>
      <c r="H20" s="77">
        <f t="shared" si="0"/>
        <v>19984769.740000002</v>
      </c>
      <c r="I20" s="18"/>
      <c r="J20" s="104">
        <f t="shared" si="1"/>
        <v>-3.085605540659594</v>
      </c>
    </row>
    <row r="21" spans="1:10" ht="15">
      <c r="A21" s="23"/>
      <c r="B21" s="23" t="s">
        <v>88</v>
      </c>
      <c r="C21" s="18"/>
      <c r="D21" s="113">
        <v>0</v>
      </c>
      <c r="E21" s="113"/>
      <c r="F21" s="113">
        <v>-184871152.09</v>
      </c>
      <c r="G21" s="144"/>
      <c r="H21" s="77">
        <f t="shared" si="0"/>
        <v>184871152.09</v>
      </c>
      <c r="I21" s="18"/>
      <c r="J21" s="104">
        <f t="shared" si="1"/>
        <v>-1</v>
      </c>
    </row>
    <row r="22" spans="1:10" ht="15">
      <c r="A22" s="23"/>
      <c r="B22" s="23" t="s">
        <v>46</v>
      </c>
      <c r="C22" s="18"/>
      <c r="D22" s="113">
        <v>117813436.99</v>
      </c>
      <c r="E22" s="113"/>
      <c r="F22" s="113">
        <v>200264303.4</v>
      </c>
      <c r="G22" s="144"/>
      <c r="H22" s="77">
        <f t="shared" si="0"/>
        <v>-82450866.41000001</v>
      </c>
      <c r="I22" s="18"/>
      <c r="J22" s="104">
        <f t="shared" si="1"/>
        <v>-0.41171024995560945</v>
      </c>
    </row>
    <row r="23" spans="1:10" ht="15">
      <c r="A23" s="23"/>
      <c r="B23" s="23" t="s">
        <v>276</v>
      </c>
      <c r="C23" s="18"/>
      <c r="D23" s="113">
        <v>9650808.23</v>
      </c>
      <c r="E23" s="113"/>
      <c r="F23" s="113">
        <v>-11891018.23</v>
      </c>
      <c r="G23" s="144"/>
      <c r="H23" s="77">
        <f t="shared" si="0"/>
        <v>21541826.46</v>
      </c>
      <c r="I23" s="18"/>
      <c r="J23" s="104">
        <f t="shared" si="1"/>
        <v>-1.8116048637156954</v>
      </c>
    </row>
    <row r="24" spans="1:10" ht="15">
      <c r="A24" s="23"/>
      <c r="B24" s="23" t="s">
        <v>57</v>
      </c>
      <c r="C24" s="18"/>
      <c r="D24" s="114">
        <v>15877619</v>
      </c>
      <c r="E24" s="113"/>
      <c r="F24" s="114">
        <v>-39848086</v>
      </c>
      <c r="G24" s="144"/>
      <c r="H24" s="77">
        <f t="shared" si="0"/>
        <v>55725705</v>
      </c>
      <c r="I24" s="18"/>
      <c r="J24" s="104">
        <f t="shared" si="1"/>
        <v>-1.3984537425461288</v>
      </c>
    </row>
    <row r="25" spans="1:10" ht="15">
      <c r="A25" s="23"/>
      <c r="B25" s="136"/>
      <c r="C25" s="18"/>
      <c r="D25" s="102"/>
      <c r="E25" s="18"/>
      <c r="F25" s="102">
        <v>0</v>
      </c>
      <c r="G25" s="18"/>
      <c r="H25" s="76">
        <f>+D25-F25</f>
        <v>0</v>
      </c>
      <c r="I25" s="18"/>
      <c r="J25" s="105">
        <v>0</v>
      </c>
    </row>
    <row r="26" spans="1:10" ht="15">
      <c r="A26" s="23"/>
      <c r="B26" s="21" t="s">
        <v>328</v>
      </c>
      <c r="C26" s="18"/>
      <c r="D26" s="20">
        <f>SUM(D16:D25)</f>
        <v>291292867.68</v>
      </c>
      <c r="E26" s="21"/>
      <c r="F26" s="20">
        <f>SUM(F16:F25)</f>
        <v>-210492940.35999995</v>
      </c>
      <c r="G26" s="21"/>
      <c r="H26" s="20">
        <f>SUM(H22:H25)</f>
        <v>-5183334.95000001</v>
      </c>
      <c r="I26" s="21"/>
      <c r="J26" s="43">
        <f>SUM(J22:J25)</f>
        <v>-3.6217688562174333</v>
      </c>
    </row>
    <row r="27" spans="1:10" ht="15">
      <c r="A27" s="23"/>
      <c r="B27" s="21"/>
      <c r="C27" s="18"/>
      <c r="D27" s="100"/>
      <c r="E27" s="18"/>
      <c r="F27" s="100"/>
      <c r="G27" s="18"/>
      <c r="H27" s="77"/>
      <c r="I27" s="18"/>
      <c r="J27" s="104"/>
    </row>
    <row r="28" spans="1:10" ht="15">
      <c r="A28" s="23"/>
      <c r="B28" s="21" t="s">
        <v>329</v>
      </c>
      <c r="C28" s="18"/>
      <c r="D28" s="20">
        <f>+D12+D26</f>
        <v>347857877.8899996</v>
      </c>
      <c r="E28" s="20"/>
      <c r="F28" s="20">
        <f>+F12+F26</f>
        <v>-645830868.51</v>
      </c>
      <c r="G28" s="20"/>
      <c r="H28" s="20">
        <f>+H12+H26</f>
        <v>486719603.4099996</v>
      </c>
      <c r="I28" s="20"/>
      <c r="J28" s="106">
        <f>+J12+J26</f>
        <v>-4.751702424033077</v>
      </c>
    </row>
    <row r="29" spans="1:10" ht="15">
      <c r="A29" s="23"/>
      <c r="B29" s="18"/>
      <c r="C29" s="18"/>
      <c r="D29" s="100"/>
      <c r="E29" s="18"/>
      <c r="F29" s="100"/>
      <c r="G29" s="18"/>
      <c r="H29" s="18"/>
      <c r="I29" s="18"/>
      <c r="J29" s="93"/>
    </row>
    <row r="30" spans="1:10" ht="15">
      <c r="A30" s="23"/>
      <c r="B30" s="21" t="s">
        <v>330</v>
      </c>
      <c r="C30" s="18"/>
      <c r="D30" s="100"/>
      <c r="E30" s="18"/>
      <c r="F30" s="100"/>
      <c r="G30" s="18"/>
      <c r="H30" s="18"/>
      <c r="I30" s="18"/>
      <c r="J30" s="93"/>
    </row>
    <row r="31" spans="1:10" ht="15">
      <c r="A31" s="23"/>
      <c r="B31" s="18"/>
      <c r="C31" s="18"/>
      <c r="D31" s="100"/>
      <c r="E31" s="18"/>
      <c r="F31" s="100"/>
      <c r="G31" s="18"/>
      <c r="H31" s="18"/>
      <c r="I31" s="18"/>
      <c r="J31" s="93"/>
    </row>
    <row r="32" spans="1:10" ht="15">
      <c r="A32" s="23"/>
      <c r="B32" s="21" t="s">
        <v>332</v>
      </c>
      <c r="C32" s="18"/>
      <c r="D32" s="100"/>
      <c r="E32" s="18"/>
      <c r="F32" s="100"/>
      <c r="G32" s="18"/>
      <c r="H32" s="18"/>
      <c r="I32" s="18"/>
      <c r="J32" s="93"/>
    </row>
    <row r="33" spans="1:10" ht="15">
      <c r="A33" s="18"/>
      <c r="B33" s="18"/>
      <c r="C33" s="18"/>
      <c r="D33" s="113"/>
      <c r="E33" s="18"/>
      <c r="F33" s="113"/>
      <c r="G33" s="18"/>
      <c r="H33" s="77"/>
      <c r="I33" s="18"/>
      <c r="J33" s="151"/>
    </row>
    <row r="34" spans="1:10" ht="15">
      <c r="A34" s="18"/>
      <c r="B34" s="18" t="s">
        <v>418</v>
      </c>
      <c r="C34" s="18"/>
      <c r="D34" s="113">
        <v>-20926444.76</v>
      </c>
      <c r="E34" s="113"/>
      <c r="F34" s="113">
        <v>32990076</v>
      </c>
      <c r="G34" s="144"/>
      <c r="H34" s="77">
        <f>+D34-F34</f>
        <v>-53916520.760000005</v>
      </c>
      <c r="I34" s="18"/>
      <c r="J34" s="104">
        <f>+H34/F34</f>
        <v>-1.6343254486591667</v>
      </c>
    </row>
    <row r="35" spans="1:10" ht="15">
      <c r="A35" s="18"/>
      <c r="B35" s="18" t="s">
        <v>360</v>
      </c>
      <c r="C35" s="18"/>
      <c r="D35" s="144">
        <v>-36106929</v>
      </c>
      <c r="E35" s="144"/>
      <c r="F35" s="144">
        <v>-62473166</v>
      </c>
      <c r="G35" s="144"/>
      <c r="H35" s="77">
        <f>+D35-F35</f>
        <v>26366237</v>
      </c>
      <c r="I35" s="18"/>
      <c r="J35" s="104">
        <f>+H35/F35</f>
        <v>-0.422040992767999</v>
      </c>
    </row>
    <row r="36" spans="1:10" ht="15">
      <c r="A36" s="18"/>
      <c r="B36" s="18" t="s">
        <v>358</v>
      </c>
      <c r="C36" s="18"/>
      <c r="D36" s="144">
        <v>-17351973</v>
      </c>
      <c r="E36" s="144"/>
      <c r="F36" s="144">
        <v>-29003229</v>
      </c>
      <c r="G36" s="144"/>
      <c r="H36" s="77">
        <f>+D36-F36</f>
        <v>11651256</v>
      </c>
      <c r="I36" s="18"/>
      <c r="J36" s="104">
        <f>+H36/F36</f>
        <v>-0.40172271852902997</v>
      </c>
    </row>
    <row r="37" spans="1:10" ht="15">
      <c r="A37" s="18"/>
      <c r="B37" s="136" t="s">
        <v>424</v>
      </c>
      <c r="C37" s="18"/>
      <c r="D37" s="113">
        <v>158120130.51</v>
      </c>
      <c r="E37" s="18"/>
      <c r="F37" s="113">
        <v>163203117.05</v>
      </c>
      <c r="G37" s="18"/>
      <c r="H37" s="77">
        <f>+D37-F37</f>
        <v>-5082986.540000021</v>
      </c>
      <c r="I37" s="18"/>
      <c r="J37" s="104">
        <f>+H37/F37</f>
        <v>-0.03114515599872252</v>
      </c>
    </row>
    <row r="38" spans="1:10" ht="15">
      <c r="A38" s="23"/>
      <c r="B38" s="136" t="s">
        <v>423</v>
      </c>
      <c r="C38" s="18"/>
      <c r="D38" s="100">
        <v>-14872126.71</v>
      </c>
      <c r="E38" s="18"/>
      <c r="F38" s="100">
        <v>3155543</v>
      </c>
      <c r="G38" s="18"/>
      <c r="H38" s="77">
        <f>+D38-F38</f>
        <v>-18027669.71</v>
      </c>
      <c r="I38" s="18"/>
      <c r="J38" s="104">
        <f>+H38/F38</f>
        <v>-5.713016653552178</v>
      </c>
    </row>
    <row r="39" spans="1:10" ht="15">
      <c r="A39" s="23"/>
      <c r="B39" s="18"/>
      <c r="C39" s="18"/>
      <c r="D39" s="100"/>
      <c r="E39" s="18"/>
      <c r="F39" s="100"/>
      <c r="G39" s="18"/>
      <c r="H39" s="18"/>
      <c r="I39" s="18"/>
      <c r="J39" s="93"/>
    </row>
    <row r="40" spans="1:10" ht="15">
      <c r="A40" s="23"/>
      <c r="B40" s="21" t="s">
        <v>331</v>
      </c>
      <c r="C40" s="18"/>
      <c r="D40" s="20">
        <f>SUM(D32:D39)</f>
        <v>68862657.03999999</v>
      </c>
      <c r="E40" s="20"/>
      <c r="F40" s="20">
        <f>SUM(F32:F39)</f>
        <v>107872341.05000001</v>
      </c>
      <c r="G40" s="20"/>
      <c r="H40" s="20">
        <f>SUM(H32:H39)</f>
        <v>-39009684.01000003</v>
      </c>
      <c r="I40" s="20"/>
      <c r="J40" s="104">
        <f>+H40/F40</f>
        <v>-0.3616282323187796</v>
      </c>
    </row>
    <row r="41" spans="1:10" ht="15">
      <c r="A41" s="23"/>
      <c r="B41" s="18"/>
      <c r="C41" s="18"/>
      <c r="D41" s="100"/>
      <c r="E41" s="18"/>
      <c r="F41" s="100"/>
      <c r="G41" s="18"/>
      <c r="H41" s="18"/>
      <c r="I41" s="18"/>
      <c r="J41" s="93"/>
    </row>
    <row r="42" spans="1:11" ht="15">
      <c r="A42" s="23"/>
      <c r="B42" s="154" t="s">
        <v>333</v>
      </c>
      <c r="C42" s="155"/>
      <c r="D42" s="156">
        <f>+D28+D40</f>
        <v>416720534.9299996</v>
      </c>
      <c r="E42" s="156"/>
      <c r="F42" s="156">
        <f>+F28+F40</f>
        <v>-537958527.46</v>
      </c>
      <c r="G42" s="156"/>
      <c r="H42" s="156">
        <f>+H28-H40</f>
        <v>525729287.41999966</v>
      </c>
      <c r="I42" s="156"/>
      <c r="J42" s="157">
        <f>+J28-J40</f>
        <v>-4.390074191714297</v>
      </c>
      <c r="K42" s="158" t="s">
        <v>429</v>
      </c>
    </row>
    <row r="43" spans="1:11" ht="15">
      <c r="A43" s="23"/>
      <c r="B43" s="155"/>
      <c r="C43" s="155"/>
      <c r="D43" s="159">
        <f>+D42-216907520.92</f>
        <v>199813014.0099996</v>
      </c>
      <c r="E43" s="155"/>
      <c r="F43" s="159">
        <f>+F42+268979259.36</f>
        <v>-268979268.1</v>
      </c>
      <c r="G43" s="155"/>
      <c r="H43" s="155"/>
      <c r="I43" s="155"/>
      <c r="J43" s="160"/>
      <c r="K43" s="161"/>
    </row>
    <row r="44" spans="1:10" ht="15">
      <c r="A44" s="23"/>
      <c r="B44" s="21" t="s">
        <v>334</v>
      </c>
      <c r="C44" s="18"/>
      <c r="D44" s="20">
        <f>+F46</f>
        <v>-314457219.93000007</v>
      </c>
      <c r="E44" s="21"/>
      <c r="F44" s="20">
        <v>223501307.53</v>
      </c>
      <c r="G44" s="21"/>
      <c r="H44" s="20">
        <f>+H30-H42</f>
        <v>-525729287.41999966</v>
      </c>
      <c r="I44" s="20"/>
      <c r="J44" s="107">
        <f>+J30-J42</f>
        <v>4.390074191714297</v>
      </c>
    </row>
    <row r="45" spans="1:10" ht="15">
      <c r="A45" s="23"/>
      <c r="B45" s="18"/>
      <c r="C45" s="18"/>
      <c r="D45" s="20"/>
      <c r="E45" s="21"/>
      <c r="F45" s="20"/>
      <c r="G45" s="21"/>
      <c r="H45" s="21"/>
      <c r="I45" s="21"/>
      <c r="J45" s="107"/>
    </row>
    <row r="46" spans="1:12" ht="15">
      <c r="A46" s="23"/>
      <c r="B46" s="21" t="s">
        <v>335</v>
      </c>
      <c r="C46" s="18"/>
      <c r="D46" s="103">
        <f>+D42+D44</f>
        <v>102263314.99999952</v>
      </c>
      <c r="E46" s="21"/>
      <c r="F46" s="103">
        <f>+F42+F44</f>
        <v>-314457219.93000007</v>
      </c>
      <c r="G46" s="21"/>
      <c r="H46" s="20">
        <f>+D46-F46</f>
        <v>416720534.9299996</v>
      </c>
      <c r="I46" s="20"/>
      <c r="J46" s="107"/>
      <c r="L46" s="12"/>
    </row>
    <row r="47" spans="1:10" ht="15">
      <c r="A47" s="23"/>
      <c r="B47" s="18"/>
      <c r="C47" s="18"/>
      <c r="D47" s="100"/>
      <c r="E47" s="18"/>
      <c r="F47" s="100"/>
      <c r="G47" s="18"/>
      <c r="H47" s="18"/>
      <c r="I47" s="18"/>
      <c r="J47" s="93"/>
    </row>
    <row r="48" spans="1:10" ht="15">
      <c r="A48" s="23"/>
      <c r="B48" s="18"/>
      <c r="C48" s="18"/>
      <c r="D48" s="100"/>
      <c r="E48" s="18"/>
      <c r="F48" s="100"/>
      <c r="G48" s="18"/>
      <c r="H48" s="18"/>
      <c r="I48" s="18"/>
      <c r="J48" s="93"/>
    </row>
    <row r="49" spans="1:10" ht="15">
      <c r="A49" s="23"/>
      <c r="B49" s="18"/>
      <c r="C49" s="18"/>
      <c r="D49" s="100"/>
      <c r="E49" s="18"/>
      <c r="F49" s="100"/>
      <c r="G49" s="18"/>
      <c r="H49" s="18"/>
      <c r="I49" s="18"/>
      <c r="J49" s="93"/>
    </row>
    <row r="50" spans="1:10" ht="15">
      <c r="A50" s="23"/>
      <c r="B50" s="21" t="s">
        <v>112</v>
      </c>
      <c r="C50" s="24"/>
      <c r="D50" s="492" t="s">
        <v>112</v>
      </c>
      <c r="E50" s="492"/>
      <c r="F50" s="492"/>
      <c r="G50" s="18"/>
      <c r="H50" s="487" t="s">
        <v>112</v>
      </c>
      <c r="I50" s="487"/>
      <c r="J50" s="488"/>
    </row>
    <row r="51" spans="1:10" ht="15">
      <c r="A51" s="23"/>
      <c r="B51" s="21" t="s">
        <v>113</v>
      </c>
      <c r="C51" s="24"/>
      <c r="D51" s="492" t="s">
        <v>115</v>
      </c>
      <c r="E51" s="492"/>
      <c r="F51" s="492"/>
      <c r="G51" s="18"/>
      <c r="H51" s="487" t="s">
        <v>118</v>
      </c>
      <c r="I51" s="487"/>
      <c r="J51" s="488"/>
    </row>
    <row r="52" spans="1:10" ht="15">
      <c r="A52" s="23"/>
      <c r="B52" s="21" t="s">
        <v>114</v>
      </c>
      <c r="C52" s="24"/>
      <c r="D52" s="492" t="s">
        <v>116</v>
      </c>
      <c r="E52" s="492"/>
      <c r="F52" s="492"/>
      <c r="G52" s="18"/>
      <c r="H52" s="487" t="s">
        <v>119</v>
      </c>
      <c r="I52" s="487"/>
      <c r="J52" s="488"/>
    </row>
    <row r="53" spans="1:10" ht="15">
      <c r="A53" s="23"/>
      <c r="B53" s="18"/>
      <c r="C53" s="24"/>
      <c r="D53" s="21" t="s">
        <v>117</v>
      </c>
      <c r="E53" s="18"/>
      <c r="F53" s="17"/>
      <c r="G53" s="18"/>
      <c r="H53" s="21" t="s">
        <v>120</v>
      </c>
      <c r="I53" s="36"/>
      <c r="J53" s="37"/>
    </row>
    <row r="54" spans="1:10" ht="15.75" thickBot="1">
      <c r="A54" s="38"/>
      <c r="B54" s="39"/>
      <c r="C54" s="40"/>
      <c r="D54" s="39"/>
      <c r="E54" s="39"/>
      <c r="F54" s="41"/>
      <c r="G54" s="39"/>
      <c r="H54" s="108" t="s">
        <v>121</v>
      </c>
      <c r="I54" s="39"/>
      <c r="J54" s="42"/>
    </row>
  </sheetData>
  <sheetProtection/>
  <mergeCells count="9">
    <mergeCell ref="D52:F52"/>
    <mergeCell ref="H52:J52"/>
    <mergeCell ref="B1:J1"/>
    <mergeCell ref="B2:J2"/>
    <mergeCell ref="B3:J3"/>
    <mergeCell ref="D50:F50"/>
    <mergeCell ref="H50:J50"/>
    <mergeCell ref="D51:F51"/>
    <mergeCell ref="H51:J5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4">
      <selection activeCell="D28" sqref="D28"/>
    </sheetView>
  </sheetViews>
  <sheetFormatPr defaultColWidth="11.421875" defaultRowHeight="15"/>
  <cols>
    <col min="1" max="1" width="2.421875" style="0" customWidth="1"/>
    <col min="2" max="2" width="51.28125" style="0" customWidth="1"/>
    <col min="3" max="3" width="4.00390625" style="0" customWidth="1"/>
    <col min="4" max="4" width="24.7109375" style="0" bestFit="1" customWidth="1"/>
    <col min="5" max="5" width="4.00390625" style="0" customWidth="1"/>
    <col min="6" max="6" width="23.7109375" style="99" bestFit="1" customWidth="1"/>
    <col min="7" max="7" width="4.00390625" style="0" customWidth="1"/>
    <col min="8" max="8" width="24.7109375" style="0" bestFit="1" customWidth="1"/>
    <col min="9" max="9" width="4.00390625" style="0" customWidth="1"/>
    <col min="10" max="10" width="11.57421875" style="0" bestFit="1" customWidth="1"/>
  </cols>
  <sheetData>
    <row r="1" spans="1:10" ht="15">
      <c r="A1" s="22"/>
      <c r="B1" s="489" t="s">
        <v>91</v>
      </c>
      <c r="C1" s="489"/>
      <c r="D1" s="489"/>
      <c r="E1" s="489"/>
      <c r="F1" s="489"/>
      <c r="G1" s="489"/>
      <c r="H1" s="489"/>
      <c r="I1" s="489"/>
      <c r="J1" s="494"/>
    </row>
    <row r="2" spans="1:10" ht="15">
      <c r="A2" s="23"/>
      <c r="B2" s="490" t="s">
        <v>336</v>
      </c>
      <c r="C2" s="490"/>
      <c r="D2" s="490"/>
      <c r="E2" s="490"/>
      <c r="F2" s="490"/>
      <c r="G2" s="490"/>
      <c r="H2" s="490"/>
      <c r="I2" s="490"/>
      <c r="J2" s="495"/>
    </row>
    <row r="3" spans="1:10" ht="15">
      <c r="A3" s="23"/>
      <c r="B3" s="490" t="s">
        <v>93</v>
      </c>
      <c r="C3" s="490"/>
      <c r="D3" s="490"/>
      <c r="E3" s="490"/>
      <c r="F3" s="490"/>
      <c r="G3" s="490"/>
      <c r="H3" s="490"/>
      <c r="I3" s="490"/>
      <c r="J3" s="495"/>
    </row>
    <row r="4" spans="1:10" ht="15">
      <c r="A4" s="23"/>
      <c r="B4" s="24"/>
      <c r="C4" s="24"/>
      <c r="D4" s="98"/>
      <c r="E4" s="18"/>
      <c r="F4" s="100"/>
      <c r="G4" s="18"/>
      <c r="H4" s="18"/>
      <c r="I4" s="18"/>
      <c r="J4" s="93"/>
    </row>
    <row r="5" spans="1:10" ht="15">
      <c r="A5" s="23"/>
      <c r="B5" s="24"/>
      <c r="C5" s="24"/>
      <c r="D5" s="27">
        <v>2015</v>
      </c>
      <c r="E5" s="101"/>
      <c r="F5" s="27">
        <v>2014</v>
      </c>
      <c r="G5" s="18"/>
      <c r="H5" s="20" t="s">
        <v>81</v>
      </c>
      <c r="I5" s="21"/>
      <c r="J5" s="28" t="s">
        <v>82</v>
      </c>
    </row>
    <row r="6" spans="1:10" ht="15">
      <c r="A6" s="23"/>
      <c r="B6" s="21" t="s">
        <v>337</v>
      </c>
      <c r="C6" s="18"/>
      <c r="D6" s="18"/>
      <c r="E6" s="18"/>
      <c r="F6" s="100"/>
      <c r="G6" s="18"/>
      <c r="H6" s="18"/>
      <c r="I6" s="18"/>
      <c r="J6" s="93"/>
    </row>
    <row r="7" spans="1:10" ht="15">
      <c r="A7" s="23"/>
      <c r="B7" s="21" t="s">
        <v>338</v>
      </c>
      <c r="C7" s="18"/>
      <c r="D7" s="18"/>
      <c r="E7" s="18"/>
      <c r="F7" s="100"/>
      <c r="G7" s="18"/>
      <c r="H7" s="18"/>
      <c r="I7" s="18"/>
      <c r="J7" s="93"/>
    </row>
    <row r="8" spans="1:10" ht="15">
      <c r="A8" s="23"/>
      <c r="B8" s="18"/>
      <c r="C8" s="18"/>
      <c r="D8" s="18"/>
      <c r="E8" s="18"/>
      <c r="F8" s="100"/>
      <c r="G8" s="18"/>
      <c r="H8" s="18"/>
      <c r="I8" s="18"/>
      <c r="J8" s="93"/>
    </row>
    <row r="9" spans="1:10" ht="15">
      <c r="A9" s="23"/>
      <c r="B9" s="18" t="s">
        <v>77</v>
      </c>
      <c r="C9" s="18"/>
      <c r="D9" s="77">
        <f>+'BALANCE GENERAL 2016'!J9</f>
        <v>25286923.24000001</v>
      </c>
      <c r="E9" s="18"/>
      <c r="F9" s="100">
        <v>37932.20999997854</v>
      </c>
      <c r="G9" s="18"/>
      <c r="H9" s="77">
        <f>+D9-F9</f>
        <v>25248991.03000003</v>
      </c>
      <c r="I9" s="18"/>
      <c r="J9" s="26">
        <f>+H9/F9</f>
        <v>665.6345894429645</v>
      </c>
    </row>
    <row r="10" spans="1:10" ht="15">
      <c r="A10" s="23"/>
      <c r="B10" s="18" t="s">
        <v>87</v>
      </c>
      <c r="C10" s="18"/>
      <c r="D10" s="77">
        <v>0</v>
      </c>
      <c r="E10" s="18"/>
      <c r="F10" s="113">
        <v>1100000</v>
      </c>
      <c r="G10" s="18"/>
      <c r="H10" s="77">
        <f>+D10-F10</f>
        <v>-1100000</v>
      </c>
      <c r="I10" s="18"/>
      <c r="J10" s="104">
        <f>+H10/F10</f>
        <v>-1</v>
      </c>
    </row>
    <row r="11" spans="1:10" ht="15">
      <c r="A11" s="23"/>
      <c r="B11" s="18" t="s">
        <v>339</v>
      </c>
      <c r="C11" s="18"/>
      <c r="D11" s="77">
        <f>+'BALANCE GENERAL 2016'!J11</f>
        <v>-212157817</v>
      </c>
      <c r="E11" s="18"/>
      <c r="F11" s="100">
        <v>-163203117.05000007</v>
      </c>
      <c r="G11" s="18"/>
      <c r="H11" s="77">
        <f>+D11-F11</f>
        <v>-48954699.94999993</v>
      </c>
      <c r="I11" s="18"/>
      <c r="J11" s="104">
        <f>+H11/F11</f>
        <v>0.2999617950618052</v>
      </c>
    </row>
    <row r="12" spans="1:10" ht="15">
      <c r="A12" s="23"/>
      <c r="B12" s="18" t="s">
        <v>340</v>
      </c>
      <c r="C12" s="18"/>
      <c r="D12" s="77">
        <f>+'BALANCE GENERAL 2016'!J12</f>
        <v>-42671765.55</v>
      </c>
      <c r="E12" s="18"/>
      <c r="F12" s="100">
        <v>29174432</v>
      </c>
      <c r="G12" s="18"/>
      <c r="H12" s="77">
        <f>+D12-F12</f>
        <v>-71846197.55</v>
      </c>
      <c r="I12" s="18"/>
      <c r="J12" s="104">
        <f>+H12/F12</f>
        <v>-2.4626425477623695</v>
      </c>
    </row>
    <row r="13" spans="1:10" ht="15">
      <c r="A13" s="23"/>
      <c r="B13" s="18" t="s">
        <v>341</v>
      </c>
      <c r="C13" s="18"/>
      <c r="D13" s="76">
        <f>+'BALANCE GENERAL 2016'!J13</f>
        <v>-45333352</v>
      </c>
      <c r="E13" s="18"/>
      <c r="F13" s="102">
        <v>-146110487.64999998</v>
      </c>
      <c r="G13" s="18"/>
      <c r="H13" s="76">
        <f>+D13-F13</f>
        <v>100777135.64999998</v>
      </c>
      <c r="I13" s="18"/>
      <c r="J13" s="105">
        <f>+H13/F13</f>
        <v>-0.6897323886250132</v>
      </c>
    </row>
    <row r="14" spans="1:10" ht="15">
      <c r="A14" s="23"/>
      <c r="B14" s="18"/>
      <c r="C14" s="18"/>
      <c r="D14" s="18"/>
      <c r="E14" s="18"/>
      <c r="F14" s="100"/>
      <c r="G14" s="18"/>
      <c r="H14" s="18"/>
      <c r="I14" s="18"/>
      <c r="J14" s="93"/>
    </row>
    <row r="15" spans="1:10" ht="32.25" customHeight="1">
      <c r="A15" s="23"/>
      <c r="B15" s="121" t="s">
        <v>342</v>
      </c>
      <c r="C15" s="21"/>
      <c r="D15" s="20">
        <f>SUM(D9:D13)</f>
        <v>-274876011.31</v>
      </c>
      <c r="E15" s="21"/>
      <c r="F15" s="20">
        <f>SUM(F9:F13)</f>
        <v>-279001240.49000007</v>
      </c>
      <c r="G15" s="21"/>
      <c r="H15" s="20">
        <f>SUM(H9:H13)</f>
        <v>4125229.1800000817</v>
      </c>
      <c r="I15" s="21"/>
      <c r="J15" s="43">
        <f>SUM(J9:J13)</f>
        <v>661.782176301639</v>
      </c>
    </row>
    <row r="16" spans="1:10" ht="15">
      <c r="A16" s="23"/>
      <c r="B16" s="18"/>
      <c r="C16" s="18"/>
      <c r="D16" s="18"/>
      <c r="E16" s="18"/>
      <c r="F16" s="100"/>
      <c r="G16" s="18"/>
      <c r="H16" s="18"/>
      <c r="I16" s="18"/>
      <c r="J16" s="93"/>
    </row>
    <row r="17" spans="1:10" ht="15">
      <c r="A17" s="23"/>
      <c r="B17" s="21" t="s">
        <v>343</v>
      </c>
      <c r="C17" s="18"/>
      <c r="D17" s="18"/>
      <c r="E17" s="18"/>
      <c r="F17" s="100"/>
      <c r="G17" s="18"/>
      <c r="H17" s="18"/>
      <c r="I17" s="18"/>
      <c r="J17" s="93"/>
    </row>
    <row r="18" spans="1:10" ht="15">
      <c r="A18" s="23"/>
      <c r="B18" s="21" t="s">
        <v>344</v>
      </c>
      <c r="C18" s="18"/>
      <c r="D18" s="18"/>
      <c r="E18" s="18"/>
      <c r="F18" s="100"/>
      <c r="G18" s="18"/>
      <c r="H18" s="18"/>
      <c r="I18" s="18"/>
      <c r="J18" s="93"/>
    </row>
    <row r="19" spans="1:10" ht="15">
      <c r="A19" s="23"/>
      <c r="B19" s="18"/>
      <c r="C19" s="18"/>
      <c r="D19" s="18"/>
      <c r="E19" s="18"/>
      <c r="F19" s="100"/>
      <c r="G19" s="18"/>
      <c r="H19" s="18"/>
      <c r="I19" s="18"/>
      <c r="J19" s="93"/>
    </row>
    <row r="20" spans="1:10" ht="15">
      <c r="A20" s="23"/>
      <c r="B20" s="33" t="s">
        <v>345</v>
      </c>
      <c r="C20" s="18"/>
      <c r="D20" s="77">
        <f>-'BALANCE GENERAL 2016'!J35</f>
        <v>149176985</v>
      </c>
      <c r="E20" s="18"/>
      <c r="F20" s="100">
        <v>62473166</v>
      </c>
      <c r="G20" s="18"/>
      <c r="H20" s="77">
        <f>+D20-F20</f>
        <v>86703819</v>
      </c>
      <c r="I20" s="18"/>
      <c r="J20" s="104">
        <f>+H20/F20</f>
        <v>1.3878569720638139</v>
      </c>
    </row>
    <row r="21" spans="1:10" ht="15">
      <c r="A21" s="23"/>
      <c r="B21" s="33" t="s">
        <v>95</v>
      </c>
      <c r="C21" s="18"/>
      <c r="D21" s="77">
        <f>-'BALANCE GENERAL 2016'!J36</f>
        <v>-13482908</v>
      </c>
      <c r="E21" s="18"/>
      <c r="F21" s="100">
        <v>-193608241.78999996</v>
      </c>
      <c r="G21" s="18"/>
      <c r="H21" s="77">
        <f>+D21-F21</f>
        <v>180125333.78999996</v>
      </c>
      <c r="I21" s="18"/>
      <c r="J21" s="104">
        <f>+H21/F21</f>
        <v>-0.930359844832306</v>
      </c>
    </row>
    <row r="22" spans="1:10" ht="15">
      <c r="A22" s="23"/>
      <c r="B22" s="33" t="s">
        <v>346</v>
      </c>
      <c r="C22" s="18"/>
      <c r="D22" s="77">
        <f>-'BALANCE GENERAL 2016'!J37</f>
        <v>472969</v>
      </c>
      <c r="E22" s="18"/>
      <c r="F22" s="100">
        <v>5234875.23</v>
      </c>
      <c r="G22" s="18"/>
      <c r="H22" s="77">
        <f>+D22-F22</f>
        <v>-4761906.23</v>
      </c>
      <c r="I22" s="18"/>
      <c r="J22" s="104">
        <f>+H22/F22</f>
        <v>-0.9096503776652571</v>
      </c>
    </row>
    <row r="23" spans="1:10" ht="15">
      <c r="A23" s="23"/>
      <c r="B23" s="33" t="s">
        <v>97</v>
      </c>
      <c r="C23" s="18"/>
      <c r="D23" s="77">
        <f>-'BALANCE GENERAL 2016'!J38</f>
        <v>-75349056.55</v>
      </c>
      <c r="E23" s="18"/>
      <c r="F23" s="100">
        <v>-32990076</v>
      </c>
      <c r="G23" s="18"/>
      <c r="H23" s="77">
        <f>+D23-F23</f>
        <v>-42358980.55</v>
      </c>
      <c r="I23" s="18"/>
      <c r="J23" s="104">
        <f>+H23/F23</f>
        <v>1.2839916025049471</v>
      </c>
    </row>
    <row r="24" spans="1:10" ht="15">
      <c r="A24" s="23"/>
      <c r="B24" s="33" t="s">
        <v>57</v>
      </c>
      <c r="C24" s="18"/>
      <c r="D24" s="76">
        <f>('BALANCE GENERAL 2016'!J41+'BALANCE GENERAL 2016'!J40+'BALANCE GENERAL 2016'!J39)*-1</f>
        <v>63022853</v>
      </c>
      <c r="E24" s="18"/>
      <c r="F24" s="102">
        <v>39848086</v>
      </c>
      <c r="G24" s="18"/>
      <c r="H24" s="76">
        <f>+D24-F24</f>
        <v>23174767</v>
      </c>
      <c r="I24" s="18"/>
      <c r="J24" s="105">
        <f>+H24/F24</f>
        <v>0.5815779207061539</v>
      </c>
    </row>
    <row r="25" spans="1:10" ht="15">
      <c r="A25" s="23"/>
      <c r="B25" s="18"/>
      <c r="C25" s="18"/>
      <c r="D25" s="18"/>
      <c r="E25" s="18"/>
      <c r="F25" s="100"/>
      <c r="G25" s="18"/>
      <c r="H25" s="18"/>
      <c r="I25" s="18"/>
      <c r="J25" s="93"/>
    </row>
    <row r="26" spans="1:10" ht="32.25" customHeight="1">
      <c r="A26" s="23"/>
      <c r="B26" s="121" t="s">
        <v>347</v>
      </c>
      <c r="C26" s="18"/>
      <c r="D26" s="20">
        <f>SUM(D20:D24)</f>
        <v>123840842.45</v>
      </c>
      <c r="E26" s="20"/>
      <c r="F26" s="20">
        <f>SUM(F20:F24)</f>
        <v>-119042190.55999994</v>
      </c>
      <c r="G26" s="20"/>
      <c r="H26" s="20">
        <f>SUM(H20:H24)</f>
        <v>242883033.01</v>
      </c>
      <c r="I26" s="21"/>
      <c r="J26" s="106">
        <f>SUM(J20:J24)</f>
        <v>1.4134162727773516</v>
      </c>
    </row>
    <row r="27" spans="1:10" ht="15">
      <c r="A27" s="23"/>
      <c r="B27" s="18"/>
      <c r="C27" s="18"/>
      <c r="D27" s="18"/>
      <c r="E27" s="18"/>
      <c r="F27" s="100"/>
      <c r="G27" s="18"/>
      <c r="H27" s="18"/>
      <c r="I27" s="18"/>
      <c r="J27" s="93"/>
    </row>
    <row r="28" spans="1:10" ht="51" customHeight="1">
      <c r="A28" s="23"/>
      <c r="B28" s="121" t="s">
        <v>348</v>
      </c>
      <c r="C28" s="18"/>
      <c r="D28" s="35">
        <f>+D15+D26</f>
        <v>-151035168.86</v>
      </c>
      <c r="E28" s="35"/>
      <c r="F28" s="35">
        <f>+F15-F26</f>
        <v>-159959049.93000013</v>
      </c>
      <c r="G28" s="35"/>
      <c r="H28" s="35">
        <f>+H15-H26</f>
        <v>-238757803.82999992</v>
      </c>
      <c r="I28" s="35"/>
      <c r="J28" s="107">
        <f>+J15-J26</f>
        <v>660.3687600288616</v>
      </c>
    </row>
    <row r="29" spans="1:10" ht="15">
      <c r="A29" s="23"/>
      <c r="B29" s="18"/>
      <c r="C29" s="18"/>
      <c r="D29" s="18"/>
      <c r="E29" s="18"/>
      <c r="F29" s="100"/>
      <c r="G29" s="18"/>
      <c r="H29" s="18"/>
      <c r="I29" s="18"/>
      <c r="J29" s="93"/>
    </row>
    <row r="30" spans="1:10" ht="15">
      <c r="A30" s="23"/>
      <c r="B30" s="18"/>
      <c r="C30" s="18"/>
      <c r="D30" s="18"/>
      <c r="E30" s="18"/>
      <c r="F30" s="100"/>
      <c r="G30" s="18"/>
      <c r="H30" s="18"/>
      <c r="I30" s="18"/>
      <c r="J30" s="93"/>
    </row>
    <row r="31" spans="1:10" ht="15">
      <c r="A31" s="23"/>
      <c r="B31" s="18"/>
      <c r="C31" s="18"/>
      <c r="D31" s="18"/>
      <c r="E31" s="18"/>
      <c r="F31" s="100"/>
      <c r="G31" s="18"/>
      <c r="H31" s="18"/>
      <c r="I31" s="18"/>
      <c r="J31" s="93"/>
    </row>
    <row r="32" spans="1:10" ht="15">
      <c r="A32" s="23"/>
      <c r="B32" s="18"/>
      <c r="C32" s="18"/>
      <c r="D32" s="18"/>
      <c r="E32" s="18"/>
      <c r="F32" s="100"/>
      <c r="G32" s="18"/>
      <c r="H32" s="18"/>
      <c r="I32" s="18"/>
      <c r="J32" s="93"/>
    </row>
    <row r="33" spans="1:10" ht="15">
      <c r="A33" s="23"/>
      <c r="B33" s="21" t="s">
        <v>112</v>
      </c>
      <c r="C33" s="24"/>
      <c r="D33" s="492" t="s">
        <v>112</v>
      </c>
      <c r="E33" s="492"/>
      <c r="F33" s="492"/>
      <c r="G33" s="18"/>
      <c r="H33" s="487" t="s">
        <v>112</v>
      </c>
      <c r="I33" s="487"/>
      <c r="J33" s="488"/>
    </row>
    <row r="34" spans="1:10" ht="15">
      <c r="A34" s="23"/>
      <c r="B34" s="21" t="s">
        <v>113</v>
      </c>
      <c r="C34" s="24"/>
      <c r="D34" s="492" t="s">
        <v>115</v>
      </c>
      <c r="E34" s="492"/>
      <c r="F34" s="492"/>
      <c r="G34" s="18"/>
      <c r="H34" s="487" t="s">
        <v>118</v>
      </c>
      <c r="I34" s="487"/>
      <c r="J34" s="488"/>
    </row>
    <row r="35" spans="1:10" ht="15">
      <c r="A35" s="23"/>
      <c r="B35" s="21" t="s">
        <v>114</v>
      </c>
      <c r="C35" s="24"/>
      <c r="D35" s="492" t="s">
        <v>116</v>
      </c>
      <c r="E35" s="492"/>
      <c r="F35" s="492"/>
      <c r="G35" s="18"/>
      <c r="H35" s="487" t="s">
        <v>119</v>
      </c>
      <c r="I35" s="487"/>
      <c r="J35" s="488"/>
    </row>
    <row r="36" spans="1:10" ht="15">
      <c r="A36" s="23"/>
      <c r="B36" s="18"/>
      <c r="C36" s="24"/>
      <c r="D36" s="21" t="s">
        <v>117</v>
      </c>
      <c r="E36" s="18"/>
      <c r="F36" s="17"/>
      <c r="G36" s="18"/>
      <c r="H36" s="21" t="s">
        <v>120</v>
      </c>
      <c r="I36" s="36"/>
      <c r="J36" s="37"/>
    </row>
    <row r="37" spans="1:10" ht="15.75" thickBot="1">
      <c r="A37" s="38"/>
      <c r="B37" s="39"/>
      <c r="C37" s="40"/>
      <c r="D37" s="39"/>
      <c r="E37" s="39"/>
      <c r="F37" s="41"/>
      <c r="G37" s="39"/>
      <c r="H37" s="108" t="s">
        <v>121</v>
      </c>
      <c r="I37" s="39"/>
      <c r="J37" s="42"/>
    </row>
  </sheetData>
  <sheetProtection/>
  <mergeCells count="9">
    <mergeCell ref="D35:F35"/>
    <mergeCell ref="H35:J35"/>
    <mergeCell ref="B1:J1"/>
    <mergeCell ref="B2:J2"/>
    <mergeCell ref="B3:J3"/>
    <mergeCell ref="D33:F33"/>
    <mergeCell ref="H33:J33"/>
    <mergeCell ref="D34:F34"/>
    <mergeCell ref="H34:J34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G17" sqref="G17"/>
    </sheetView>
  </sheetViews>
  <sheetFormatPr defaultColWidth="11.421875" defaultRowHeight="15"/>
  <cols>
    <col min="1" max="1" width="35.7109375" style="0" bestFit="1" customWidth="1"/>
    <col min="2" max="2" width="3.57421875" style="0" customWidth="1"/>
    <col min="3" max="3" width="24.00390625" style="147" bestFit="1" customWidth="1"/>
    <col min="4" max="4" width="3.57421875" style="147" customWidth="1"/>
    <col min="5" max="5" width="24.8515625" style="147" bestFit="1" customWidth="1"/>
    <col min="6" max="6" width="3.57421875" style="147" customWidth="1"/>
    <col min="7" max="7" width="24.421875" style="147" bestFit="1" customWidth="1"/>
    <col min="8" max="8" width="3.57421875" style="147" customWidth="1"/>
    <col min="9" max="9" width="12.7109375" style="147" bestFit="1" customWidth="1"/>
  </cols>
  <sheetData>
    <row r="1" spans="1:9" ht="15">
      <c r="A1" s="499" t="s">
        <v>91</v>
      </c>
      <c r="B1" s="489"/>
      <c r="C1" s="489"/>
      <c r="D1" s="489"/>
      <c r="E1" s="489"/>
      <c r="F1" s="489"/>
      <c r="G1" s="489"/>
      <c r="H1" s="489"/>
      <c r="I1" s="494"/>
    </row>
    <row r="2" spans="1:9" ht="15">
      <c r="A2" s="500" t="s">
        <v>419</v>
      </c>
      <c r="B2" s="490"/>
      <c r="C2" s="490"/>
      <c r="D2" s="490"/>
      <c r="E2" s="490"/>
      <c r="F2" s="490"/>
      <c r="G2" s="490"/>
      <c r="H2" s="490"/>
      <c r="I2" s="495"/>
    </row>
    <row r="3" spans="1:9" ht="15">
      <c r="A3" s="500" t="s">
        <v>93</v>
      </c>
      <c r="B3" s="490"/>
      <c r="C3" s="490"/>
      <c r="D3" s="490"/>
      <c r="E3" s="490"/>
      <c r="F3" s="490"/>
      <c r="G3" s="490"/>
      <c r="H3" s="490"/>
      <c r="I3" s="495"/>
    </row>
    <row r="4" spans="1:9" ht="15">
      <c r="A4" s="141"/>
      <c r="B4" s="139"/>
      <c r="C4" s="98"/>
      <c r="D4" s="144"/>
      <c r="E4" s="113"/>
      <c r="F4" s="144"/>
      <c r="G4" s="144"/>
      <c r="H4" s="144"/>
      <c r="I4" s="145"/>
    </row>
    <row r="5" spans="1:9" ht="15">
      <c r="A5" s="141"/>
      <c r="B5" s="139"/>
      <c r="C5" s="148">
        <v>2015</v>
      </c>
      <c r="D5" s="148"/>
      <c r="E5" s="148">
        <v>2014</v>
      </c>
      <c r="F5" s="144"/>
      <c r="G5" s="20" t="s">
        <v>81</v>
      </c>
      <c r="H5" s="20"/>
      <c r="I5" s="146" t="s">
        <v>82</v>
      </c>
    </row>
    <row r="6" spans="1:9" ht="15">
      <c r="A6" s="23"/>
      <c r="B6" s="18"/>
      <c r="C6" s="144"/>
      <c r="D6" s="144"/>
      <c r="E6" s="144"/>
      <c r="F6" s="144"/>
      <c r="G6" s="144"/>
      <c r="H6" s="144"/>
      <c r="I6" s="145"/>
    </row>
    <row r="7" spans="1:9" ht="15">
      <c r="A7" s="23" t="s">
        <v>420</v>
      </c>
      <c r="B7" s="18"/>
      <c r="C7" s="144">
        <v>55220534.56</v>
      </c>
      <c r="D7" s="144"/>
      <c r="E7" s="144">
        <v>-454726087.52</v>
      </c>
      <c r="F7" s="144"/>
      <c r="G7" s="77">
        <f>+C7-E7</f>
        <v>509946622.08</v>
      </c>
      <c r="H7" s="18"/>
      <c r="I7" s="104">
        <f>+G7/E7</f>
        <v>-1.1214369179062578</v>
      </c>
    </row>
    <row r="8" spans="1:9" ht="15">
      <c r="A8" s="23" t="s">
        <v>167</v>
      </c>
      <c r="B8" s="18"/>
      <c r="C8" s="144">
        <v>33380074</v>
      </c>
      <c r="D8" s="144"/>
      <c r="E8" s="144">
        <v>34428913</v>
      </c>
      <c r="F8" s="144"/>
      <c r="G8" s="77">
        <f>+C8-E8</f>
        <v>-1048839</v>
      </c>
      <c r="H8" s="18"/>
      <c r="I8" s="104">
        <f>+G8/E8</f>
        <v>-0.030463901082209595</v>
      </c>
    </row>
    <row r="9" spans="1:9" ht="15">
      <c r="A9" s="34" t="s">
        <v>421</v>
      </c>
      <c r="B9" s="21"/>
      <c r="C9" s="20">
        <f>SUM(C7:C8)</f>
        <v>88600608.56</v>
      </c>
      <c r="D9" s="20"/>
      <c r="E9" s="20">
        <f>SUM(E7:E8)</f>
        <v>-420297174.52</v>
      </c>
      <c r="F9" s="20"/>
      <c r="G9" s="20">
        <f>SUM(G7:G8)</f>
        <v>508897783.08</v>
      </c>
      <c r="H9" s="20"/>
      <c r="I9" s="104">
        <f>SUM(I7:I8)</f>
        <v>-1.1519008189884674</v>
      </c>
    </row>
    <row r="10" spans="1:9" ht="15">
      <c r="A10" s="23"/>
      <c r="B10" s="18"/>
      <c r="C10" s="144"/>
      <c r="D10" s="144"/>
      <c r="E10" s="144"/>
      <c r="F10" s="144"/>
      <c r="G10" s="144"/>
      <c r="H10" s="144"/>
      <c r="I10" s="145"/>
    </row>
    <row r="11" spans="1:9" ht="15">
      <c r="A11" s="34" t="s">
        <v>422</v>
      </c>
      <c r="B11" s="18"/>
      <c r="C11" s="144"/>
      <c r="D11" s="144"/>
      <c r="E11" s="144"/>
      <c r="F11" s="144"/>
      <c r="G11" s="144"/>
      <c r="H11" s="144"/>
      <c r="I11" s="145"/>
    </row>
    <row r="12" spans="1:9" ht="15">
      <c r="A12" s="23" t="s">
        <v>423</v>
      </c>
      <c r="B12" s="18"/>
      <c r="C12" s="144">
        <v>-14872126.91</v>
      </c>
      <c r="D12" s="144"/>
      <c r="E12" s="144">
        <v>3155543</v>
      </c>
      <c r="F12" s="144"/>
      <c r="G12" s="77">
        <f>+C12-E12</f>
        <v>-18027669.91</v>
      </c>
      <c r="H12" s="18"/>
      <c r="I12" s="104">
        <f>+G12/E12</f>
        <v>-5.713016716932712</v>
      </c>
    </row>
    <row r="13" spans="1:9" ht="15">
      <c r="A13" s="149" t="s">
        <v>424</v>
      </c>
      <c r="B13" s="18"/>
      <c r="C13" s="144">
        <v>158120130.51</v>
      </c>
      <c r="D13" s="144"/>
      <c r="E13" s="144">
        <v>163203117.05</v>
      </c>
      <c r="F13" s="144"/>
      <c r="G13" s="77">
        <f>+C13-E13</f>
        <v>-5082986.540000021</v>
      </c>
      <c r="H13" s="18"/>
      <c r="I13" s="104">
        <f>+G13/E13</f>
        <v>-0.03114515599872252</v>
      </c>
    </row>
    <row r="14" spans="1:9" ht="15">
      <c r="A14" s="23" t="s">
        <v>86</v>
      </c>
      <c r="B14" s="18"/>
      <c r="C14" s="144">
        <v>-14941091.24</v>
      </c>
      <c r="D14" s="144"/>
      <c r="E14" s="144">
        <v>-15040744.89</v>
      </c>
      <c r="F14" s="144"/>
      <c r="G14" s="77">
        <f>+C14-E14</f>
        <v>99653.65000000037</v>
      </c>
      <c r="H14" s="18"/>
      <c r="I14" s="104">
        <f>+G14/E14</f>
        <v>-0.006625579432987801</v>
      </c>
    </row>
    <row r="15" spans="1:9" ht="15">
      <c r="A15" s="34" t="s">
        <v>425</v>
      </c>
      <c r="B15" s="21"/>
      <c r="C15" s="20">
        <f>SUM(C12:C14)</f>
        <v>128306912.36</v>
      </c>
      <c r="D15" s="20"/>
      <c r="E15" s="20">
        <f>SUM(E12:E14)</f>
        <v>151317915.16000003</v>
      </c>
      <c r="F15" s="20"/>
      <c r="G15" s="35">
        <f>+C15-E15</f>
        <v>-23011002.800000027</v>
      </c>
      <c r="H15" s="21"/>
      <c r="I15" s="31">
        <f>+G15/E15</f>
        <v>-0.15207057786692826</v>
      </c>
    </row>
    <row r="16" spans="1:9" ht="15">
      <c r="A16" s="23"/>
      <c r="B16" s="18"/>
      <c r="C16" s="144"/>
      <c r="D16" s="144"/>
      <c r="E16" s="144"/>
      <c r="F16" s="144"/>
      <c r="G16" s="144"/>
      <c r="H16" s="144"/>
      <c r="I16" s="145"/>
    </row>
    <row r="17" spans="1:9" ht="15">
      <c r="A17" s="34" t="s">
        <v>426</v>
      </c>
      <c r="B17" s="18"/>
      <c r="C17" s="20">
        <f>+C9+C15</f>
        <v>216907520.92000002</v>
      </c>
      <c r="D17" s="20"/>
      <c r="E17" s="20">
        <f>+E9+E15</f>
        <v>-268979259.35999995</v>
      </c>
      <c r="F17" s="20"/>
      <c r="G17" s="20">
        <f>+G9+G15</f>
        <v>485886780.28</v>
      </c>
      <c r="H17" s="20"/>
      <c r="I17" s="31">
        <f>+I9+I15</f>
        <v>-1.3039713968553956</v>
      </c>
    </row>
    <row r="18" spans="1:9" ht="15">
      <c r="A18" s="23"/>
      <c r="B18" s="18"/>
      <c r="C18" s="144"/>
      <c r="D18" s="144"/>
      <c r="E18" s="144"/>
      <c r="F18" s="144"/>
      <c r="G18" s="144"/>
      <c r="H18" s="144"/>
      <c r="I18" s="145"/>
    </row>
    <row r="19" spans="1:9" ht="30">
      <c r="A19" s="150" t="s">
        <v>427</v>
      </c>
      <c r="B19" s="18"/>
      <c r="C19" s="144"/>
      <c r="D19" s="144"/>
      <c r="E19" s="144"/>
      <c r="F19" s="144"/>
      <c r="G19" s="144"/>
      <c r="H19" s="144"/>
      <c r="I19" s="145"/>
    </row>
    <row r="20" spans="1:9" ht="15">
      <c r="A20" s="34" t="s">
        <v>428</v>
      </c>
      <c r="B20" s="18"/>
      <c r="C20" s="144"/>
      <c r="D20" s="144"/>
      <c r="E20" s="144"/>
      <c r="F20" s="144"/>
      <c r="G20" s="144"/>
      <c r="H20" s="144"/>
      <c r="I20" s="145"/>
    </row>
    <row r="21" spans="1:9" ht="15">
      <c r="A21" s="34"/>
      <c r="B21" s="18"/>
      <c r="C21" s="144"/>
      <c r="D21" s="144"/>
      <c r="E21" s="144"/>
      <c r="F21" s="144"/>
      <c r="G21" s="144"/>
      <c r="H21" s="144"/>
      <c r="I21" s="145"/>
    </row>
    <row r="22" spans="1:9" ht="15">
      <c r="A22" s="149" t="s">
        <v>77</v>
      </c>
      <c r="B22" s="18"/>
      <c r="C22" s="144">
        <v>116033553.37</v>
      </c>
      <c r="D22" s="144"/>
      <c r="E22" s="144">
        <v>37932.21</v>
      </c>
      <c r="F22" s="144"/>
      <c r="G22" s="77">
        <f aca="true" t="shared" si="0" ref="G22:G33">+C22-E22</f>
        <v>115995621.16000001</v>
      </c>
      <c r="H22" s="18"/>
      <c r="I22" s="104">
        <f aca="true" t="shared" si="1" ref="I22:I33">+G22/E22</f>
        <v>3057.9716067162976</v>
      </c>
    </row>
    <row r="23" spans="1:9" ht="15">
      <c r="A23" s="23" t="s">
        <v>87</v>
      </c>
      <c r="B23" s="18"/>
      <c r="C23" s="144"/>
      <c r="D23" s="144"/>
      <c r="E23" s="144">
        <v>1100000</v>
      </c>
      <c r="F23" s="144"/>
      <c r="G23" s="77">
        <f t="shared" si="0"/>
        <v>-1100000</v>
      </c>
      <c r="H23" s="18"/>
      <c r="I23" s="104">
        <f t="shared" si="1"/>
        <v>-1</v>
      </c>
    </row>
    <row r="24" spans="1:9" ht="15">
      <c r="A24" s="23" t="s">
        <v>415</v>
      </c>
      <c r="B24" s="18"/>
      <c r="C24" s="113">
        <v>3413002.88999999</v>
      </c>
      <c r="D24" s="113"/>
      <c r="E24" s="113">
        <v>-29174432</v>
      </c>
      <c r="F24" s="144"/>
      <c r="G24" s="77">
        <f t="shared" si="0"/>
        <v>32587434.88999999</v>
      </c>
      <c r="H24" s="18"/>
      <c r="I24" s="104">
        <f t="shared" si="1"/>
        <v>-1.1169860955647737</v>
      </c>
    </row>
    <row r="25" spans="1:9" ht="15">
      <c r="A25" s="23" t="s">
        <v>416</v>
      </c>
      <c r="B25" s="18"/>
      <c r="C25" s="113">
        <v>14996451.46</v>
      </c>
      <c r="D25" s="113"/>
      <c r="E25" s="113">
        <v>-139633713.65</v>
      </c>
      <c r="F25" s="144"/>
      <c r="G25" s="77">
        <f t="shared" si="0"/>
        <v>154630165.11</v>
      </c>
      <c r="H25" s="18"/>
      <c r="I25" s="104">
        <f t="shared" si="1"/>
        <v>-1.1073985004623559</v>
      </c>
    </row>
    <row r="26" spans="1:9" ht="15">
      <c r="A26" s="23" t="s">
        <v>417</v>
      </c>
      <c r="B26" s="18"/>
      <c r="C26" s="113">
        <v>13507995.74</v>
      </c>
      <c r="D26" s="113"/>
      <c r="E26" s="113">
        <v>-6476774</v>
      </c>
      <c r="F26" s="144"/>
      <c r="G26" s="77">
        <f t="shared" si="0"/>
        <v>19984769.740000002</v>
      </c>
      <c r="H26" s="18"/>
      <c r="I26" s="104">
        <f t="shared" si="1"/>
        <v>-3.085605540659594</v>
      </c>
    </row>
    <row r="27" spans="1:9" ht="15">
      <c r="A27" s="23" t="s">
        <v>88</v>
      </c>
      <c r="B27" s="18"/>
      <c r="C27" s="113">
        <v>0</v>
      </c>
      <c r="D27" s="113"/>
      <c r="E27" s="113">
        <v>-184871152.09</v>
      </c>
      <c r="F27" s="144"/>
      <c r="G27" s="77">
        <f t="shared" si="0"/>
        <v>184871152.09</v>
      </c>
      <c r="H27" s="18"/>
      <c r="I27" s="104">
        <f t="shared" si="1"/>
        <v>-1</v>
      </c>
    </row>
    <row r="28" spans="1:9" ht="15">
      <c r="A28" s="23" t="s">
        <v>46</v>
      </c>
      <c r="B28" s="18"/>
      <c r="C28" s="113">
        <f>117813436.21+0.78</f>
        <v>117813436.99</v>
      </c>
      <c r="D28" s="113"/>
      <c r="E28" s="113">
        <f>200264385-81.6</f>
        <v>200264303.4</v>
      </c>
      <c r="F28" s="144"/>
      <c r="G28" s="77">
        <f t="shared" si="0"/>
        <v>-82450866.41000001</v>
      </c>
      <c r="H28" s="18"/>
      <c r="I28" s="104">
        <f t="shared" si="1"/>
        <v>-0.41171024995560945</v>
      </c>
    </row>
    <row r="29" spans="1:9" ht="15">
      <c r="A29" s="23" t="s">
        <v>276</v>
      </c>
      <c r="B29" s="18"/>
      <c r="C29" s="113">
        <v>9650808.23</v>
      </c>
      <c r="D29" s="113"/>
      <c r="E29" s="113">
        <v>-11891018.23</v>
      </c>
      <c r="F29" s="144"/>
      <c r="G29" s="77">
        <f t="shared" si="0"/>
        <v>21541826.46</v>
      </c>
      <c r="H29" s="18"/>
      <c r="I29" s="104">
        <f t="shared" si="1"/>
        <v>-1.8116048637156954</v>
      </c>
    </row>
    <row r="30" spans="1:9" ht="15">
      <c r="A30" s="23" t="s">
        <v>418</v>
      </c>
      <c r="B30" s="18"/>
      <c r="C30" s="113">
        <v>-20926444.76</v>
      </c>
      <c r="D30" s="113"/>
      <c r="E30" s="113">
        <v>32990076</v>
      </c>
      <c r="F30" s="144"/>
      <c r="G30" s="77">
        <f t="shared" si="0"/>
        <v>-53916520.760000005</v>
      </c>
      <c r="H30" s="18"/>
      <c r="I30" s="104">
        <f t="shared" si="1"/>
        <v>-1.6343254486591667</v>
      </c>
    </row>
    <row r="31" spans="1:9" ht="15">
      <c r="A31" s="23" t="s">
        <v>57</v>
      </c>
      <c r="B31" s="18"/>
      <c r="C31" s="114">
        <v>15877619</v>
      </c>
      <c r="D31" s="113"/>
      <c r="E31" s="114">
        <v>-39848086</v>
      </c>
      <c r="F31" s="144"/>
      <c r="G31" s="77">
        <f t="shared" si="0"/>
        <v>55725705</v>
      </c>
      <c r="H31" s="18"/>
      <c r="I31" s="104">
        <f t="shared" si="1"/>
        <v>-1.3984537425461288</v>
      </c>
    </row>
    <row r="32" spans="1:9" ht="15">
      <c r="A32" s="23" t="s">
        <v>360</v>
      </c>
      <c r="B32" s="18"/>
      <c r="C32" s="144">
        <v>-36106929</v>
      </c>
      <c r="D32" s="144"/>
      <c r="E32" s="144">
        <v>-62473166</v>
      </c>
      <c r="F32" s="144"/>
      <c r="G32" s="77">
        <f t="shared" si="0"/>
        <v>26366237</v>
      </c>
      <c r="H32" s="18"/>
      <c r="I32" s="104">
        <f t="shared" si="1"/>
        <v>-0.422040992767999</v>
      </c>
    </row>
    <row r="33" spans="1:9" ht="15">
      <c r="A33" s="23" t="s">
        <v>358</v>
      </c>
      <c r="B33" s="18"/>
      <c r="C33" s="144">
        <v>-17351973</v>
      </c>
      <c r="D33" s="144"/>
      <c r="E33" s="144">
        <v>-29003229</v>
      </c>
      <c r="F33" s="144"/>
      <c r="G33" s="77">
        <f t="shared" si="0"/>
        <v>11651256</v>
      </c>
      <c r="H33" s="18"/>
      <c r="I33" s="104">
        <f t="shared" si="1"/>
        <v>-0.40172271852902997</v>
      </c>
    </row>
    <row r="34" spans="1:9" ht="15">
      <c r="A34" s="23"/>
      <c r="B34" s="18"/>
      <c r="C34" s="144"/>
      <c r="D34" s="144"/>
      <c r="E34" s="144"/>
      <c r="F34" s="144"/>
      <c r="G34" s="144"/>
      <c r="H34" s="144"/>
      <c r="I34" s="145"/>
    </row>
    <row r="35" spans="1:9" ht="15">
      <c r="A35" s="34" t="s">
        <v>426</v>
      </c>
      <c r="B35" s="21"/>
      <c r="C35" s="20">
        <f>SUM(C22:C33)</f>
        <v>216907520.92000002</v>
      </c>
      <c r="D35" s="20"/>
      <c r="E35" s="20">
        <f>SUM(E22:E33)</f>
        <v>-268979259.35999995</v>
      </c>
      <c r="F35" s="20"/>
      <c r="G35" s="35">
        <f>+C35-E35</f>
        <v>485886780.28</v>
      </c>
      <c r="H35" s="21"/>
      <c r="I35" s="31">
        <f>+G35/E35</f>
        <v>-1.8064098378295128</v>
      </c>
    </row>
    <row r="36" spans="1:9" ht="15">
      <c r="A36" s="34"/>
      <c r="B36" s="21"/>
      <c r="C36" s="20"/>
      <c r="D36" s="20"/>
      <c r="E36" s="20"/>
      <c r="F36" s="20"/>
      <c r="G36" s="35"/>
      <c r="H36" s="21"/>
      <c r="I36" s="31"/>
    </row>
    <row r="37" spans="1:9" ht="15">
      <c r="A37" s="34"/>
      <c r="B37" s="21"/>
      <c r="C37" s="20"/>
      <c r="D37" s="20"/>
      <c r="E37" s="20"/>
      <c r="F37" s="20"/>
      <c r="G37" s="35"/>
      <c r="H37" s="21"/>
      <c r="I37" s="31"/>
    </row>
    <row r="38" spans="1:9" ht="15">
      <c r="A38" s="34"/>
      <c r="B38" s="21"/>
      <c r="C38" s="20"/>
      <c r="D38" s="20"/>
      <c r="E38" s="20"/>
      <c r="F38" s="20"/>
      <c r="G38" s="35"/>
      <c r="H38" s="21"/>
      <c r="I38" s="31"/>
    </row>
    <row r="39" spans="1:9" ht="15">
      <c r="A39" s="34"/>
      <c r="B39" s="21"/>
      <c r="C39" s="20"/>
      <c r="D39" s="20"/>
      <c r="E39" s="20"/>
      <c r="F39" s="20"/>
      <c r="G39" s="35"/>
      <c r="H39" s="21"/>
      <c r="I39" s="31"/>
    </row>
    <row r="40" spans="1:9" ht="15">
      <c r="A40" s="34"/>
      <c r="B40" s="21"/>
      <c r="C40" s="20"/>
      <c r="D40" s="20"/>
      <c r="E40" s="20"/>
      <c r="F40" s="20"/>
      <c r="G40" s="35"/>
      <c r="H40" s="21"/>
      <c r="I40" s="31"/>
    </row>
    <row r="41" spans="1:9" ht="15">
      <c r="A41" s="23"/>
      <c r="B41" s="18"/>
      <c r="C41" s="144"/>
      <c r="D41" s="144"/>
      <c r="E41" s="144"/>
      <c r="F41" s="144"/>
      <c r="G41" s="144"/>
      <c r="H41" s="144"/>
      <c r="I41" s="145"/>
    </row>
    <row r="42" spans="1:9" ht="15">
      <c r="A42" s="34" t="s">
        <v>112</v>
      </c>
      <c r="B42" s="139"/>
      <c r="C42" s="492" t="s">
        <v>112</v>
      </c>
      <c r="D42" s="492"/>
      <c r="E42" s="492"/>
      <c r="F42" s="18"/>
      <c r="G42" s="487" t="s">
        <v>112</v>
      </c>
      <c r="H42" s="487"/>
      <c r="I42" s="488"/>
    </row>
    <row r="43" spans="1:9" ht="15">
      <c r="A43" s="34" t="s">
        <v>113</v>
      </c>
      <c r="B43" s="139"/>
      <c r="C43" s="492" t="s">
        <v>115</v>
      </c>
      <c r="D43" s="492"/>
      <c r="E43" s="492"/>
      <c r="F43" s="18"/>
      <c r="G43" s="487" t="s">
        <v>118</v>
      </c>
      <c r="H43" s="487"/>
      <c r="I43" s="488"/>
    </row>
    <row r="44" spans="1:9" ht="15">
      <c r="A44" s="34" t="s">
        <v>114</v>
      </c>
      <c r="B44" s="139"/>
      <c r="C44" s="492" t="s">
        <v>116</v>
      </c>
      <c r="D44" s="492"/>
      <c r="E44" s="492"/>
      <c r="F44" s="18"/>
      <c r="G44" s="487" t="s">
        <v>119</v>
      </c>
      <c r="H44" s="487"/>
      <c r="I44" s="488"/>
    </row>
    <row r="45" spans="1:9" ht="15">
      <c r="A45" s="23"/>
      <c r="B45" s="139"/>
      <c r="C45" s="21" t="s">
        <v>117</v>
      </c>
      <c r="D45" s="18"/>
      <c r="E45" s="113"/>
      <c r="F45" s="18"/>
      <c r="G45" s="21" t="s">
        <v>120</v>
      </c>
      <c r="H45" s="140"/>
      <c r="I45" s="37"/>
    </row>
    <row r="46" spans="1:9" ht="15.75" thickBot="1">
      <c r="A46" s="38"/>
      <c r="B46" s="40"/>
      <c r="C46" s="39"/>
      <c r="D46" s="39"/>
      <c r="E46" s="116"/>
      <c r="F46" s="39"/>
      <c r="G46" s="108" t="s">
        <v>121</v>
      </c>
      <c r="H46" s="39"/>
      <c r="I46" s="42"/>
    </row>
  </sheetData>
  <sheetProtection/>
  <mergeCells count="9">
    <mergeCell ref="C44:E44"/>
    <mergeCell ref="G44:I44"/>
    <mergeCell ref="A1:I1"/>
    <mergeCell ref="A2:I2"/>
    <mergeCell ref="A3:I3"/>
    <mergeCell ref="C42:E42"/>
    <mergeCell ref="G42:I42"/>
    <mergeCell ref="C43:E43"/>
    <mergeCell ref="G43:I43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22">
      <selection activeCell="F28" sqref="F28"/>
    </sheetView>
  </sheetViews>
  <sheetFormatPr defaultColWidth="11.421875" defaultRowHeight="15"/>
  <cols>
    <col min="1" max="1" width="2.421875" style="0" customWidth="1"/>
    <col min="2" max="2" width="44.421875" style="0" bestFit="1" customWidth="1"/>
    <col min="3" max="3" width="4.00390625" style="0" customWidth="1"/>
    <col min="4" max="4" width="24.8515625" style="0" bestFit="1" customWidth="1"/>
    <col min="5" max="5" width="4.00390625" style="0" customWidth="1"/>
    <col min="6" max="6" width="24.00390625" style="147" bestFit="1" customWidth="1"/>
    <col min="7" max="7" width="4.00390625" style="0" customWidth="1"/>
    <col min="8" max="8" width="24.8515625" style="0" bestFit="1" customWidth="1"/>
    <col min="9" max="9" width="4.00390625" style="0" customWidth="1"/>
    <col min="10" max="10" width="11.57421875" style="0" bestFit="1" customWidth="1"/>
  </cols>
  <sheetData>
    <row r="1" spans="1:10" ht="15">
      <c r="A1" s="22"/>
      <c r="B1" s="489" t="s">
        <v>91</v>
      </c>
      <c r="C1" s="489"/>
      <c r="D1" s="489"/>
      <c r="E1" s="489"/>
      <c r="F1" s="489"/>
      <c r="G1" s="489"/>
      <c r="H1" s="489"/>
      <c r="I1" s="489"/>
      <c r="J1" s="494"/>
    </row>
    <row r="2" spans="1:10" ht="15">
      <c r="A2" s="23"/>
      <c r="B2" s="490" t="s">
        <v>336</v>
      </c>
      <c r="C2" s="490"/>
      <c r="D2" s="490"/>
      <c r="E2" s="490"/>
      <c r="F2" s="490"/>
      <c r="G2" s="490"/>
      <c r="H2" s="490"/>
      <c r="I2" s="490"/>
      <c r="J2" s="495"/>
    </row>
    <row r="3" spans="1:10" ht="15">
      <c r="A3" s="23"/>
      <c r="B3" s="490" t="s">
        <v>93</v>
      </c>
      <c r="C3" s="490"/>
      <c r="D3" s="490"/>
      <c r="E3" s="490"/>
      <c r="F3" s="490"/>
      <c r="G3" s="490"/>
      <c r="H3" s="490"/>
      <c r="I3" s="490"/>
      <c r="J3" s="495"/>
    </row>
    <row r="4" spans="1:10" ht="15">
      <c r="A4" s="23"/>
      <c r="B4" s="142"/>
      <c r="C4" s="142"/>
      <c r="D4" s="98"/>
      <c r="E4" s="18"/>
      <c r="F4" s="144"/>
      <c r="G4" s="18"/>
      <c r="H4" s="18"/>
      <c r="I4" s="18"/>
      <c r="J4" s="93"/>
    </row>
    <row r="5" spans="1:10" ht="15">
      <c r="A5" s="23"/>
      <c r="B5" s="142"/>
      <c r="C5" s="142"/>
      <c r="D5" s="27">
        <v>2015</v>
      </c>
      <c r="E5" s="101"/>
      <c r="F5" s="27">
        <v>2014</v>
      </c>
      <c r="G5" s="18"/>
      <c r="H5" s="20" t="s">
        <v>81</v>
      </c>
      <c r="I5" s="21"/>
      <c r="J5" s="28" t="s">
        <v>82</v>
      </c>
    </row>
    <row r="6" spans="1:10" ht="15">
      <c r="A6" s="23"/>
      <c r="B6" s="21" t="s">
        <v>337</v>
      </c>
      <c r="C6" s="18"/>
      <c r="E6" s="18"/>
      <c r="F6" s="18"/>
      <c r="G6" s="18"/>
      <c r="H6" s="18"/>
      <c r="I6" s="18"/>
      <c r="J6" s="93"/>
    </row>
    <row r="7" spans="1:10" ht="15">
      <c r="A7" s="23"/>
      <c r="B7" s="21" t="s">
        <v>338</v>
      </c>
      <c r="C7" s="18"/>
      <c r="E7" s="18"/>
      <c r="F7" s="18"/>
      <c r="G7" s="18"/>
      <c r="H7" s="18"/>
      <c r="I7" s="18"/>
      <c r="J7" s="93"/>
    </row>
    <row r="8" spans="1:10" ht="15">
      <c r="A8" s="23"/>
      <c r="B8" s="18"/>
      <c r="C8" s="18"/>
      <c r="E8" s="18"/>
      <c r="F8" s="18"/>
      <c r="G8" s="18"/>
      <c r="H8" s="18"/>
      <c r="I8" s="18"/>
      <c r="J8" s="93"/>
    </row>
    <row r="9" spans="1:10" ht="15">
      <c r="A9" s="23"/>
      <c r="B9" s="18" t="s">
        <v>77</v>
      </c>
      <c r="C9" s="18"/>
      <c r="D9" s="144">
        <v>116033553.50000006</v>
      </c>
      <c r="E9" s="18"/>
      <c r="F9" s="77">
        <f>+'[4]BALANCE GENERAL 2014'!H11</f>
        <v>37932.20999997854</v>
      </c>
      <c r="G9" s="18"/>
      <c r="H9" s="77">
        <f>+D9-F9</f>
        <v>115995621.29000008</v>
      </c>
      <c r="I9" s="18"/>
      <c r="J9" s="104">
        <f>+H9/F9</f>
        <v>3057.971610145196</v>
      </c>
    </row>
    <row r="10" spans="1:10" ht="15">
      <c r="A10" s="23"/>
      <c r="B10" s="18" t="s">
        <v>87</v>
      </c>
      <c r="C10" s="18"/>
      <c r="D10" s="144">
        <v>0</v>
      </c>
      <c r="E10" s="18"/>
      <c r="F10" s="77">
        <v>1100000</v>
      </c>
      <c r="G10" s="18"/>
      <c r="H10" s="77">
        <f>+D10-F10</f>
        <v>-1100000</v>
      </c>
      <c r="I10" s="18"/>
      <c r="J10" s="104">
        <f>+H10/F10</f>
        <v>-1</v>
      </c>
    </row>
    <row r="11" spans="1:10" ht="15">
      <c r="A11" s="23"/>
      <c r="B11" s="18" t="s">
        <v>339</v>
      </c>
      <c r="C11" s="18"/>
      <c r="D11" s="144">
        <v>-158120130.51</v>
      </c>
      <c r="E11" s="18"/>
      <c r="F11" s="77">
        <f>+'[4]BALANCE GENERAL 2014'!H13</f>
        <v>-163203117.05000007</v>
      </c>
      <c r="G11" s="18"/>
      <c r="H11" s="77">
        <f>+D11-F11</f>
        <v>5082986.540000081</v>
      </c>
      <c r="I11" s="18"/>
      <c r="J11" s="104">
        <f>+H11/F11</f>
        <v>-0.031145155998722873</v>
      </c>
    </row>
    <row r="12" spans="1:10" ht="15">
      <c r="A12" s="23"/>
      <c r="B12" s="18" t="s">
        <v>340</v>
      </c>
      <c r="C12" s="18"/>
      <c r="D12" s="144">
        <v>3413002.8899999857</v>
      </c>
      <c r="E12" s="18"/>
      <c r="F12" s="77">
        <f>+'[4]BALANCE GENERAL 2014'!H14</f>
        <v>29174432</v>
      </c>
      <c r="G12" s="18"/>
      <c r="H12" s="77">
        <f>+D12-F12</f>
        <v>-25761429.110000014</v>
      </c>
      <c r="I12" s="18"/>
      <c r="J12" s="104">
        <f>+H12/F12</f>
        <v>-0.8830139044352265</v>
      </c>
    </row>
    <row r="13" spans="1:10" ht="15">
      <c r="A13" s="23"/>
      <c r="B13" s="18" t="s">
        <v>341</v>
      </c>
      <c r="C13" s="18"/>
      <c r="D13" s="114">
        <v>28504447.199999988</v>
      </c>
      <c r="E13" s="18"/>
      <c r="F13" s="76">
        <f>+'[4]BALANCE GENERAL 2014'!H15</f>
        <v>-146110487.64999998</v>
      </c>
      <c r="G13" s="18"/>
      <c r="H13" s="77">
        <f>+D13-F13</f>
        <v>174614934.84999996</v>
      </c>
      <c r="I13" s="18"/>
      <c r="J13" s="104">
        <f>+H13/F13</f>
        <v>-1.1950883037792668</v>
      </c>
    </row>
    <row r="14" spans="1:10" ht="15">
      <c r="A14" s="23"/>
      <c r="B14" s="18"/>
      <c r="C14" s="18"/>
      <c r="E14" s="18"/>
      <c r="F14" s="18"/>
      <c r="G14" s="18"/>
      <c r="H14" s="18"/>
      <c r="I14" s="18"/>
      <c r="J14" s="93"/>
    </row>
    <row r="15" spans="1:10" ht="28.5" customHeight="1">
      <c r="A15" s="23"/>
      <c r="B15" s="121" t="s">
        <v>342</v>
      </c>
      <c r="C15" s="21"/>
      <c r="D15" s="20">
        <f>SUM(D9:D13)</f>
        <v>-10169126.919999957</v>
      </c>
      <c r="E15" s="21"/>
      <c r="F15" s="20">
        <f>SUM(F9:F13)</f>
        <v>-279001240.49000007</v>
      </c>
      <c r="G15" s="21"/>
      <c r="H15" s="20">
        <f>SUM(H9:H13)</f>
        <v>268832113.5700001</v>
      </c>
      <c r="I15" s="21"/>
      <c r="J15" s="43">
        <f>SUM(J9:J13)</f>
        <v>3054.8623627809825</v>
      </c>
    </row>
    <row r="16" spans="1:10" ht="15">
      <c r="A16" s="23"/>
      <c r="B16" s="18"/>
      <c r="C16" s="18"/>
      <c r="E16" s="18"/>
      <c r="F16" s="18"/>
      <c r="G16" s="18"/>
      <c r="H16" s="18"/>
      <c r="I16" s="18"/>
      <c r="J16" s="93"/>
    </row>
    <row r="17" spans="1:10" ht="15">
      <c r="A17" s="23"/>
      <c r="B17" s="21" t="s">
        <v>343</v>
      </c>
      <c r="C17" s="18"/>
      <c r="E17" s="18"/>
      <c r="F17" s="18"/>
      <c r="G17" s="18"/>
      <c r="H17" s="18"/>
      <c r="I17" s="18"/>
      <c r="J17" s="93"/>
    </row>
    <row r="18" spans="1:10" ht="15">
      <c r="A18" s="23"/>
      <c r="B18" s="21" t="s">
        <v>344</v>
      </c>
      <c r="C18" s="18"/>
      <c r="E18" s="18"/>
      <c r="F18" s="18"/>
      <c r="G18" s="18"/>
      <c r="H18" s="18"/>
      <c r="I18" s="18"/>
      <c r="J18" s="93"/>
    </row>
    <row r="19" spans="1:10" ht="15">
      <c r="A19" s="23"/>
      <c r="B19" s="18"/>
      <c r="C19" s="18"/>
      <c r="E19" s="18"/>
      <c r="F19" s="18"/>
      <c r="G19" s="18"/>
      <c r="H19" s="18"/>
      <c r="I19" s="18"/>
      <c r="J19" s="93"/>
    </row>
    <row r="20" spans="1:10" ht="15">
      <c r="A20" s="23"/>
      <c r="B20" s="33" t="s">
        <v>345</v>
      </c>
      <c r="C20" s="18"/>
      <c r="D20" s="144">
        <v>36106929</v>
      </c>
      <c r="E20" s="18"/>
      <c r="F20" s="77">
        <f>+'[4]BALANCE GENERAL 2014'!H37</f>
        <v>62473166</v>
      </c>
      <c r="G20" s="18"/>
      <c r="H20" s="77">
        <f>+D20-F20</f>
        <v>-26366237</v>
      </c>
      <c r="I20" s="18"/>
      <c r="J20" s="104">
        <f>+H20/F20</f>
        <v>-0.422040992767999</v>
      </c>
    </row>
    <row r="21" spans="1:10" ht="15">
      <c r="A21" s="23"/>
      <c r="B21" s="33" t="s">
        <v>95</v>
      </c>
      <c r="C21" s="18"/>
      <c r="D21" s="144">
        <v>-117813436.21000004</v>
      </c>
      <c r="E21" s="18"/>
      <c r="F21" s="77">
        <f>+'[4]BALANCE GENERAL 2014'!H38</f>
        <v>-193608241.78999996</v>
      </c>
      <c r="G21" s="18"/>
      <c r="H21" s="77">
        <f>+D21-F21</f>
        <v>75794805.57999992</v>
      </c>
      <c r="I21" s="18"/>
      <c r="J21" s="104">
        <f>+H21/F21</f>
        <v>-0.39148542892203875</v>
      </c>
    </row>
    <row r="22" spans="1:10" ht="15">
      <c r="A22" s="23"/>
      <c r="B22" s="33" t="s">
        <v>346</v>
      </c>
      <c r="C22" s="18"/>
      <c r="D22" s="144">
        <v>-9650808.23</v>
      </c>
      <c r="E22" s="18"/>
      <c r="F22" s="77">
        <f>+'[4]BALANCE GENERAL 2014'!H39</f>
        <v>5234875.23</v>
      </c>
      <c r="G22" s="18"/>
      <c r="H22" s="77">
        <f>+D22-F22</f>
        <v>-14885683.46</v>
      </c>
      <c r="I22" s="18"/>
      <c r="J22" s="104">
        <f>+H22/F22</f>
        <v>-2.8435603153811937</v>
      </c>
    </row>
    <row r="23" spans="1:10" ht="15">
      <c r="A23" s="23"/>
      <c r="B23" s="33" t="s">
        <v>97</v>
      </c>
      <c r="C23" s="18"/>
      <c r="D23" s="144">
        <v>20926444.760000005</v>
      </c>
      <c r="E23" s="18"/>
      <c r="F23" s="77">
        <f>+'[4]BALANCE GENERAL 2014'!H40</f>
        <v>-32990076</v>
      </c>
      <c r="G23" s="18"/>
      <c r="H23" s="77">
        <f>+D23-F23</f>
        <v>53916520.760000005</v>
      </c>
      <c r="I23" s="18"/>
      <c r="J23" s="104">
        <f>+H23/F23</f>
        <v>-1.6343254486591667</v>
      </c>
    </row>
    <row r="24" spans="1:10" ht="15">
      <c r="A24" s="23"/>
      <c r="B24" s="33" t="s">
        <v>57</v>
      </c>
      <c r="C24" s="18"/>
      <c r="D24" s="114">
        <f>-68141546+52066727+197200</f>
        <v>-15877619</v>
      </c>
      <c r="E24" s="18"/>
      <c r="F24" s="76">
        <v>39848086</v>
      </c>
      <c r="G24" s="18"/>
      <c r="H24" s="77">
        <f>+D24-F24</f>
        <v>-55725705</v>
      </c>
      <c r="I24" s="18"/>
      <c r="J24" s="104">
        <f>+H24/F24</f>
        <v>-1.3984537425461288</v>
      </c>
    </row>
    <row r="25" spans="1:10" ht="15">
      <c r="A25" s="23"/>
      <c r="B25" s="18"/>
      <c r="C25" s="18"/>
      <c r="D25" s="144"/>
      <c r="E25" s="18"/>
      <c r="F25" s="18"/>
      <c r="G25" s="18"/>
      <c r="H25" s="18"/>
      <c r="I25" s="18"/>
      <c r="J25" s="93"/>
    </row>
    <row r="26" spans="1:10" ht="15">
      <c r="A26" s="23"/>
      <c r="B26" s="121" t="s">
        <v>347</v>
      </c>
      <c r="C26" s="18"/>
      <c r="D26" s="20">
        <f>SUM(D20:D24)</f>
        <v>-86308489.68000004</v>
      </c>
      <c r="E26" s="20"/>
      <c r="F26" s="20">
        <f>SUM(F20:F24)</f>
        <v>-119042190.55999994</v>
      </c>
      <c r="G26" s="20"/>
      <c r="H26" s="20">
        <f>SUM(H20:H24)</f>
        <v>32733700.879999936</v>
      </c>
      <c r="I26" s="21"/>
      <c r="J26" s="43">
        <f>SUM(J20:J24)</f>
        <v>-6.689865928276526</v>
      </c>
    </row>
    <row r="27" spans="1:10" ht="15">
      <c r="A27" s="23"/>
      <c r="B27" s="18"/>
      <c r="C27" s="18"/>
      <c r="E27" s="18"/>
      <c r="F27" s="18"/>
      <c r="G27" s="18"/>
      <c r="H27" s="18"/>
      <c r="I27" s="18"/>
      <c r="J27" s="93"/>
    </row>
    <row r="28" spans="1:10" ht="30">
      <c r="A28" s="23"/>
      <c r="B28" s="121" t="s">
        <v>348</v>
      </c>
      <c r="C28" s="18"/>
      <c r="D28" s="35">
        <f>+D15-D26</f>
        <v>76139362.76000008</v>
      </c>
      <c r="E28" s="35"/>
      <c r="F28" s="35">
        <f>+F15-F26</f>
        <v>-159959049.93000013</v>
      </c>
      <c r="G28" s="35"/>
      <c r="H28" s="35">
        <f>+H15-H26</f>
        <v>236098412.69000018</v>
      </c>
      <c r="I28" s="35"/>
      <c r="J28" s="107">
        <f>+J15-J26</f>
        <v>3061.552228709259</v>
      </c>
    </row>
    <row r="29" spans="1:10" ht="15">
      <c r="A29" s="23"/>
      <c r="B29" s="18"/>
      <c r="C29" s="18"/>
      <c r="D29" s="18"/>
      <c r="E29" s="18"/>
      <c r="F29" s="144"/>
      <c r="G29" s="18"/>
      <c r="H29" s="18"/>
      <c r="I29" s="18"/>
      <c r="J29" s="93"/>
    </row>
    <row r="30" spans="1:10" ht="15">
      <c r="A30" s="23"/>
      <c r="B30" s="18"/>
      <c r="C30" s="18"/>
      <c r="D30" s="18"/>
      <c r="E30" s="18"/>
      <c r="F30" s="144"/>
      <c r="G30" s="18"/>
      <c r="H30" s="18"/>
      <c r="I30" s="18"/>
      <c r="J30" s="93"/>
    </row>
    <row r="31" spans="1:10" ht="15">
      <c r="A31" s="23"/>
      <c r="B31" s="18"/>
      <c r="C31" s="18"/>
      <c r="D31" s="18"/>
      <c r="E31" s="18"/>
      <c r="F31" s="144"/>
      <c r="G31" s="18"/>
      <c r="H31" s="18"/>
      <c r="I31" s="18"/>
      <c r="J31" s="93"/>
    </row>
    <row r="32" spans="1:10" ht="15">
      <c r="A32" s="23"/>
      <c r="B32" s="18"/>
      <c r="C32" s="18"/>
      <c r="D32" s="18"/>
      <c r="E32" s="18"/>
      <c r="F32" s="144"/>
      <c r="G32" s="18"/>
      <c r="H32" s="18"/>
      <c r="I32" s="18"/>
      <c r="J32" s="93"/>
    </row>
    <row r="33" spans="1:10" ht="15">
      <c r="A33" s="23"/>
      <c r="B33" s="21"/>
      <c r="C33" s="142"/>
      <c r="D33" s="492"/>
      <c r="E33" s="492"/>
      <c r="F33" s="492"/>
      <c r="G33" s="18"/>
      <c r="H33" s="487"/>
      <c r="I33" s="487"/>
      <c r="J33" s="488"/>
    </row>
    <row r="34" spans="1:10" ht="15">
      <c r="A34" s="23"/>
      <c r="B34" s="21" t="s">
        <v>113</v>
      </c>
      <c r="C34" s="142"/>
      <c r="D34" s="492" t="s">
        <v>115</v>
      </c>
      <c r="E34" s="492"/>
      <c r="F34" s="492"/>
      <c r="G34" s="18"/>
      <c r="H34" s="487" t="s">
        <v>118</v>
      </c>
      <c r="I34" s="487"/>
      <c r="J34" s="488"/>
    </row>
    <row r="35" spans="1:10" ht="15">
      <c r="A35" s="23"/>
      <c r="B35" s="21" t="s">
        <v>114</v>
      </c>
      <c r="C35" s="142"/>
      <c r="D35" s="492" t="s">
        <v>116</v>
      </c>
      <c r="E35" s="492"/>
      <c r="F35" s="492"/>
      <c r="G35" s="18"/>
      <c r="H35" s="487" t="s">
        <v>119</v>
      </c>
      <c r="I35" s="487"/>
      <c r="J35" s="488"/>
    </row>
    <row r="36" spans="1:10" ht="15">
      <c r="A36" s="23"/>
      <c r="B36" s="18"/>
      <c r="C36" s="142"/>
      <c r="D36" s="21" t="s">
        <v>117</v>
      </c>
      <c r="E36" s="18"/>
      <c r="F36" s="144"/>
      <c r="G36" s="18"/>
      <c r="H36" s="21" t="s">
        <v>120</v>
      </c>
      <c r="I36" s="143"/>
      <c r="J36" s="37"/>
    </row>
    <row r="37" spans="1:10" ht="15.75" thickBot="1">
      <c r="A37" s="38"/>
      <c r="B37" s="39"/>
      <c r="C37" s="40"/>
      <c r="D37" s="39"/>
      <c r="E37" s="39"/>
      <c r="F37" s="116"/>
      <c r="G37" s="39"/>
      <c r="H37" s="108" t="s">
        <v>121</v>
      </c>
      <c r="I37" s="39"/>
      <c r="J37" s="42"/>
    </row>
  </sheetData>
  <sheetProtection/>
  <mergeCells count="9">
    <mergeCell ref="D35:F35"/>
    <mergeCell ref="H35:J35"/>
    <mergeCell ref="B1:J1"/>
    <mergeCell ref="B2:J2"/>
    <mergeCell ref="B3:J3"/>
    <mergeCell ref="D33:F33"/>
    <mergeCell ref="H33:J33"/>
    <mergeCell ref="D34:F34"/>
    <mergeCell ref="H34:J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98"/>
  <sheetViews>
    <sheetView zoomScalePageLayoutView="0" workbookViewId="0" topLeftCell="A10">
      <selection activeCell="O27" sqref="O27"/>
    </sheetView>
  </sheetViews>
  <sheetFormatPr defaultColWidth="9.140625" defaultRowHeight="15"/>
  <cols>
    <col min="1" max="1" width="5.140625" style="0" customWidth="1"/>
    <col min="2" max="2" width="41.28125" style="0" bestFit="1" customWidth="1"/>
    <col min="3" max="3" width="4.8515625" style="0" customWidth="1"/>
    <col min="4" max="4" width="25.421875" style="0" bestFit="1" customWidth="1"/>
    <col min="5" max="5" width="4.28125" style="0" customWidth="1"/>
    <col min="6" max="6" width="25.421875" style="0" bestFit="1" customWidth="1"/>
    <col min="7" max="7" width="2.57421875" style="0" customWidth="1"/>
    <col min="8" max="8" width="19.8515625" style="2" bestFit="1" customWidth="1"/>
    <col min="9" max="9" width="10.8515625" style="0" hidden="1" customWidth="1"/>
    <col min="10" max="10" width="10.140625" style="0" hidden="1" customWidth="1"/>
    <col min="11" max="11" width="37.28125" style="0" hidden="1" customWidth="1"/>
    <col min="12" max="12" width="6.28125" style="0" hidden="1" customWidth="1"/>
    <col min="13" max="13" width="18.8515625" style="0" hidden="1" customWidth="1"/>
    <col min="14" max="14" width="0" style="0" hidden="1" customWidth="1"/>
    <col min="15" max="15" width="17.00390625" style="0" bestFit="1" customWidth="1"/>
  </cols>
  <sheetData>
    <row r="1" spans="4:7" ht="15">
      <c r="D1" s="122">
        <v>2014</v>
      </c>
      <c r="F1" s="1">
        <v>2015</v>
      </c>
      <c r="G1" s="1"/>
    </row>
    <row r="2" ht="15">
      <c r="B2" t="s">
        <v>0</v>
      </c>
    </row>
    <row r="3" ht="15">
      <c r="B3" t="s">
        <v>1</v>
      </c>
    </row>
    <row r="4" spans="2:11" ht="15">
      <c r="B4" t="s">
        <v>2</v>
      </c>
      <c r="D4" s="7">
        <v>15893132</v>
      </c>
      <c r="F4" s="130">
        <v>30448134</v>
      </c>
      <c r="G4" s="3"/>
      <c r="H4" s="2">
        <f>+F4-D4</f>
        <v>14555002</v>
      </c>
      <c r="I4" s="4">
        <f>+H4/D4</f>
        <v>0.9158045122887043</v>
      </c>
      <c r="K4" s="13"/>
    </row>
    <row r="5" spans="2:11" ht="15">
      <c r="B5" t="s">
        <v>3</v>
      </c>
      <c r="D5" s="7">
        <v>121528331.26</v>
      </c>
      <c r="F5" s="130">
        <v>166023029.21</v>
      </c>
      <c r="G5" s="3"/>
      <c r="H5" s="2">
        <f aca="true" t="shared" si="0" ref="H5:H68">+F5-D5</f>
        <v>44494697.95</v>
      </c>
      <c r="I5" s="4">
        <f>+H5/D5</f>
        <v>0.36612613280114253</v>
      </c>
      <c r="K5" s="13"/>
    </row>
    <row r="6" spans="2:9" ht="15">
      <c r="B6" t="s">
        <v>4</v>
      </c>
      <c r="D6" s="7">
        <v>216678298.95</v>
      </c>
      <c r="F6" s="130">
        <v>273662152.5</v>
      </c>
      <c r="G6" s="3"/>
      <c r="H6" s="2">
        <f t="shared" si="0"/>
        <v>56983853.55000001</v>
      </c>
      <c r="I6" s="4">
        <f>+H6/D6</f>
        <v>0.26298828182673445</v>
      </c>
    </row>
    <row r="7" spans="2:9" ht="15">
      <c r="B7" t="s">
        <v>5</v>
      </c>
      <c r="D7" s="7">
        <v>1100000</v>
      </c>
      <c r="F7" s="130">
        <v>1100000</v>
      </c>
      <c r="G7" s="3"/>
      <c r="H7" s="2">
        <f t="shared" si="0"/>
        <v>0</v>
      </c>
      <c r="I7" s="4"/>
    </row>
    <row r="8" spans="2:11" ht="15">
      <c r="B8" t="s">
        <v>6</v>
      </c>
      <c r="D8" s="7">
        <v>1018665386.09</v>
      </c>
      <c r="F8" s="130">
        <v>849058083.58</v>
      </c>
      <c r="G8" s="3"/>
      <c r="H8" s="138">
        <f t="shared" si="0"/>
        <v>-169607302.51</v>
      </c>
      <c r="I8" s="4">
        <f>+H8/D8</f>
        <v>-0.16649952459954798</v>
      </c>
      <c r="J8" t="s">
        <v>412</v>
      </c>
      <c r="K8" s="5"/>
    </row>
    <row r="9" spans="2:11" ht="15">
      <c r="B9" t="s">
        <v>7</v>
      </c>
      <c r="D9" s="7">
        <v>-11487172</v>
      </c>
      <c r="F9" s="3">
        <v>0</v>
      </c>
      <c r="G9" s="3"/>
      <c r="H9" s="138">
        <f t="shared" si="0"/>
        <v>11487172</v>
      </c>
      <c r="I9" s="4">
        <f>+H9/D9</f>
        <v>-1</v>
      </c>
      <c r="J9" t="s">
        <v>413</v>
      </c>
      <c r="K9" s="13">
        <f>+H9+H11+H12+H21+H22+H23</f>
        <v>-11477082.149999995</v>
      </c>
    </row>
    <row r="10" spans="2:10" ht="15">
      <c r="B10" t="s">
        <v>8</v>
      </c>
      <c r="D10" s="7">
        <v>167599802</v>
      </c>
      <c r="F10" s="12">
        <v>166815422</v>
      </c>
      <c r="G10" s="3"/>
      <c r="H10" s="137">
        <f t="shared" si="0"/>
        <v>-784380</v>
      </c>
      <c r="I10" s="4">
        <f>+H10/D10</f>
        <v>-0.004680077128014746</v>
      </c>
      <c r="J10" t="s">
        <v>412</v>
      </c>
    </row>
    <row r="11" spans="2:10" ht="15">
      <c r="B11" t="s">
        <v>9</v>
      </c>
      <c r="D11" s="7">
        <v>-32795450</v>
      </c>
      <c r="F11" s="130">
        <f>-28631284.57-104428.04</f>
        <v>-28735712.61</v>
      </c>
      <c r="G11" s="3"/>
      <c r="H11" s="137">
        <f t="shared" si="0"/>
        <v>4059737.3900000006</v>
      </c>
      <c r="I11" s="4">
        <f>+H11/D11</f>
        <v>-0.12378965344277942</v>
      </c>
      <c r="J11" t="s">
        <v>411</v>
      </c>
    </row>
    <row r="12" spans="2:15" ht="15">
      <c r="B12" t="s">
        <v>10</v>
      </c>
      <c r="D12" s="7">
        <v>-1675998</v>
      </c>
      <c r="F12" s="130">
        <v>-1538352.5</v>
      </c>
      <c r="G12" s="3"/>
      <c r="H12" s="137">
        <f t="shared" si="0"/>
        <v>137645.5</v>
      </c>
      <c r="I12" s="4">
        <f aca="true" t="shared" si="1" ref="I12:I20">+H12/D13</f>
        <v>0.0021984357486507008</v>
      </c>
      <c r="J12" t="s">
        <v>413</v>
      </c>
      <c r="O12" s="13">
        <f>SUM(H10:H12)</f>
        <v>3413002.8900000006</v>
      </c>
    </row>
    <row r="13" spans="2:10" ht="15">
      <c r="B13" t="s">
        <v>11</v>
      </c>
      <c r="D13" s="7">
        <v>62610654</v>
      </c>
      <c r="F13" s="130">
        <v>128483470</v>
      </c>
      <c r="G13" s="3"/>
      <c r="H13" s="2">
        <f t="shared" si="0"/>
        <v>65872816</v>
      </c>
      <c r="I13" s="4">
        <f t="shared" si="1"/>
        <v>141.5019053715582</v>
      </c>
      <c r="J13" t="s">
        <v>413</v>
      </c>
    </row>
    <row r="14" spans="2:10" ht="15">
      <c r="B14" t="s">
        <v>12</v>
      </c>
      <c r="D14" s="7">
        <v>465526</v>
      </c>
      <c r="F14" s="3">
        <v>0</v>
      </c>
      <c r="G14" s="3"/>
      <c r="H14" s="2">
        <f t="shared" si="0"/>
        <v>-465526</v>
      </c>
      <c r="I14" s="4">
        <f t="shared" si="1"/>
        <v>-0.019384649414362277</v>
      </c>
      <c r="J14" t="s">
        <v>412</v>
      </c>
    </row>
    <row r="15" spans="2:11" ht="15">
      <c r="B15" t="s">
        <v>13</v>
      </c>
      <c r="D15" s="7">
        <v>24015188</v>
      </c>
      <c r="F15" s="130">
        <f>37523183.52+0.22</f>
        <v>37523183.74</v>
      </c>
      <c r="G15" s="3"/>
      <c r="H15" s="2">
        <f t="shared" si="0"/>
        <v>13507995.740000002</v>
      </c>
      <c r="I15" s="4">
        <f t="shared" si="1"/>
        <v>0.17361914307692294</v>
      </c>
      <c r="J15" t="s">
        <v>413</v>
      </c>
      <c r="K15" s="12"/>
    </row>
    <row r="16" spans="2:10" ht="15">
      <c r="B16" t="s">
        <v>14</v>
      </c>
      <c r="D16" s="7">
        <v>77802456</v>
      </c>
      <c r="F16" s="130">
        <v>66310509</v>
      </c>
      <c r="G16" s="3"/>
      <c r="H16" s="2">
        <f t="shared" si="0"/>
        <v>-11491947</v>
      </c>
      <c r="I16" s="4">
        <f t="shared" si="1"/>
        <v>-1.995899286860437</v>
      </c>
      <c r="J16" t="s">
        <v>412</v>
      </c>
    </row>
    <row r="17" spans="2:10" ht="15">
      <c r="B17" t="s">
        <v>15</v>
      </c>
      <c r="D17" s="6">
        <v>5757779</v>
      </c>
      <c r="F17" s="6">
        <f>4281159+4297751.37</f>
        <v>8578910.370000001</v>
      </c>
      <c r="G17" s="3"/>
      <c r="H17" s="2">
        <f t="shared" si="0"/>
        <v>2821131.370000001</v>
      </c>
      <c r="I17" s="4">
        <f t="shared" si="1"/>
        <v>3.666808852332787</v>
      </c>
      <c r="J17" t="s">
        <v>412</v>
      </c>
    </row>
    <row r="18" spans="2:10" ht="15">
      <c r="B18" t="s">
        <v>16</v>
      </c>
      <c r="D18" s="7">
        <v>769369.63</v>
      </c>
      <c r="F18" s="130">
        <v>0</v>
      </c>
      <c r="G18" s="3"/>
      <c r="H18" s="2">
        <f t="shared" si="0"/>
        <v>-769369.63</v>
      </c>
      <c r="I18" s="4">
        <f t="shared" si="1"/>
        <v>-0.513574570713746</v>
      </c>
      <c r="J18" t="s">
        <v>413</v>
      </c>
    </row>
    <row r="19" spans="2:15" ht="15">
      <c r="B19" t="s">
        <v>17</v>
      </c>
      <c r="D19" s="7">
        <v>1498068</v>
      </c>
      <c r="F19" s="130">
        <v>14710904</v>
      </c>
      <c r="G19" s="3"/>
      <c r="H19" s="2">
        <f t="shared" si="0"/>
        <v>13212836</v>
      </c>
      <c r="I19" s="4">
        <f t="shared" si="1"/>
        <v>0.34057412902716144</v>
      </c>
      <c r="J19" t="s">
        <v>413</v>
      </c>
      <c r="O19" s="12">
        <f>+H13+H14+H16+H17+H18+H19+H20</f>
        <v>42158088.50000001</v>
      </c>
    </row>
    <row r="20" spans="2:11" ht="15">
      <c r="B20" t="s">
        <v>18</v>
      </c>
      <c r="D20" s="6">
        <v>38795771.24</v>
      </c>
      <c r="F20" s="130">
        <v>11773919</v>
      </c>
      <c r="G20" s="3"/>
      <c r="H20" s="2">
        <f t="shared" si="0"/>
        <v>-27021852.240000002</v>
      </c>
      <c r="I20" s="4">
        <f t="shared" si="1"/>
        <v>2.8598668422122127</v>
      </c>
      <c r="J20" t="s">
        <v>412</v>
      </c>
      <c r="K20" s="109"/>
    </row>
    <row r="21" spans="2:11" ht="15">
      <c r="B21" t="s">
        <v>19</v>
      </c>
      <c r="D21" s="7">
        <v>-9448640</v>
      </c>
      <c r="F21" s="130">
        <v>-14738010.42</v>
      </c>
      <c r="G21" s="3"/>
      <c r="H21" s="2">
        <f t="shared" si="0"/>
        <v>-5289370.42</v>
      </c>
      <c r="I21" s="4" t="e">
        <f>+H21/#REF!</f>
        <v>#REF!</v>
      </c>
      <c r="K21" s="12"/>
    </row>
    <row r="22" spans="2:9" ht="15">
      <c r="B22" t="s">
        <v>20</v>
      </c>
      <c r="C22" s="7"/>
      <c r="D22" s="7">
        <v>-5757779</v>
      </c>
      <c r="F22" s="3">
        <v>-4021390.63</v>
      </c>
      <c r="G22" s="3"/>
      <c r="H22" s="2">
        <f t="shared" si="0"/>
        <v>1736388.37</v>
      </c>
      <c r="I22" s="4">
        <f>+H22/D22</f>
        <v>-0.3015725976978276</v>
      </c>
    </row>
    <row r="23" spans="2:15" ht="15">
      <c r="B23" t="s">
        <v>21</v>
      </c>
      <c r="D23" s="7">
        <v>-76682486.78</v>
      </c>
      <c r="F23" s="130">
        <v>-100291141.77</v>
      </c>
      <c r="G23" s="3"/>
      <c r="H23" s="2">
        <f t="shared" si="0"/>
        <v>-23608654.989999995</v>
      </c>
      <c r="I23" s="4">
        <f>+H23/D23</f>
        <v>0.3078754482458634</v>
      </c>
      <c r="K23" s="13"/>
      <c r="L23" s="13"/>
      <c r="M23" s="13"/>
      <c r="N23" s="13">
        <f>SUM(G4:G23)</f>
        <v>0</v>
      </c>
      <c r="O23" s="13">
        <f>+H23+H22+H21+H12+H11</f>
        <v>-22964254.14999999</v>
      </c>
    </row>
    <row r="24" spans="4:14" ht="15">
      <c r="D24" s="7"/>
      <c r="F24" s="3"/>
      <c r="H24" s="2">
        <f t="shared" si="0"/>
        <v>0</v>
      </c>
      <c r="K24" s="13"/>
      <c r="L24" s="13"/>
      <c r="M24" s="13"/>
      <c r="N24" s="13">
        <f>SUM(G53:G64)</f>
        <v>0</v>
      </c>
    </row>
    <row r="25" spans="2:13" ht="15">
      <c r="B25" t="s">
        <v>22</v>
      </c>
      <c r="H25" s="2">
        <f t="shared" si="0"/>
        <v>0</v>
      </c>
      <c r="K25" s="12"/>
      <c r="L25" s="12"/>
      <c r="M25" s="12"/>
    </row>
    <row r="26" spans="11:15" ht="15">
      <c r="K26" s="12"/>
      <c r="O26" s="13">
        <f>SUM(H4:H23)</f>
        <v>-10169126.919999968</v>
      </c>
    </row>
    <row r="27" spans="4:8" ht="15">
      <c r="D27" s="112"/>
      <c r="F27" s="8"/>
      <c r="H27" s="2">
        <f t="shared" si="0"/>
        <v>0</v>
      </c>
    </row>
    <row r="28" ht="15">
      <c r="H28" s="2">
        <f t="shared" si="0"/>
        <v>0</v>
      </c>
    </row>
    <row r="29" spans="2:8" ht="15">
      <c r="B29" t="s">
        <v>23</v>
      </c>
      <c r="H29" s="2">
        <f t="shared" si="0"/>
        <v>0</v>
      </c>
    </row>
    <row r="30" spans="2:10" ht="15">
      <c r="B30" t="s">
        <v>24</v>
      </c>
      <c r="D30" s="7">
        <v>26760190</v>
      </c>
      <c r="F30" s="130">
        <v>28290190</v>
      </c>
      <c r="G30" s="3"/>
      <c r="H30" s="2">
        <f t="shared" si="0"/>
        <v>1530000</v>
      </c>
      <c r="I30" s="4">
        <f>+H30/D30</f>
        <v>0.05717448194500861</v>
      </c>
      <c r="J30" t="s">
        <v>411</v>
      </c>
    </row>
    <row r="31" spans="2:10" ht="15">
      <c r="B31" t="s">
        <v>25</v>
      </c>
      <c r="D31" s="7">
        <v>316736286.09</v>
      </c>
      <c r="F31" s="130">
        <v>318613413.09</v>
      </c>
      <c r="G31" s="3"/>
      <c r="H31" s="2">
        <f t="shared" si="0"/>
        <v>1877127</v>
      </c>
      <c r="I31" s="4">
        <f aca="true" t="shared" si="2" ref="I31:I37">+H31/D31</f>
        <v>0.005926466535212887</v>
      </c>
      <c r="J31" t="s">
        <v>411</v>
      </c>
    </row>
    <row r="32" spans="2:10" ht="15">
      <c r="B32" t="s">
        <v>26</v>
      </c>
      <c r="D32" s="7">
        <v>85226794</v>
      </c>
      <c r="F32" s="130">
        <v>86976794</v>
      </c>
      <c r="G32" s="3"/>
      <c r="H32" s="2">
        <f t="shared" si="0"/>
        <v>1750000</v>
      </c>
      <c r="I32" s="4">
        <f t="shared" si="2"/>
        <v>0.020533448671083414</v>
      </c>
      <c r="J32" t="s">
        <v>413</v>
      </c>
    </row>
    <row r="33" spans="2:9" ht="15">
      <c r="B33" t="s">
        <v>27</v>
      </c>
      <c r="D33" s="7"/>
      <c r="F33" s="3"/>
      <c r="G33" s="3"/>
      <c r="H33" s="2">
        <f t="shared" si="0"/>
        <v>0</v>
      </c>
      <c r="I33" s="4" t="e">
        <f t="shared" si="2"/>
        <v>#DIV/0!</v>
      </c>
    </row>
    <row r="34" spans="2:10" ht="15">
      <c r="B34" t="s">
        <v>28</v>
      </c>
      <c r="D34" s="7">
        <v>47088123</v>
      </c>
      <c r="F34" s="130">
        <v>55603123</v>
      </c>
      <c r="G34" s="3"/>
      <c r="H34" s="2">
        <f t="shared" si="0"/>
        <v>8515000</v>
      </c>
      <c r="I34" s="4">
        <f t="shared" si="2"/>
        <v>0.18083116203209035</v>
      </c>
      <c r="J34" t="s">
        <v>413</v>
      </c>
    </row>
    <row r="35" spans="2:15" ht="15">
      <c r="B35" t="s">
        <v>29</v>
      </c>
      <c r="D35" s="7">
        <v>183228149</v>
      </c>
      <c r="F35" s="130">
        <v>184428149</v>
      </c>
      <c r="G35" s="3"/>
      <c r="H35" s="2">
        <f t="shared" si="0"/>
        <v>1200000</v>
      </c>
      <c r="I35" s="4">
        <f t="shared" si="2"/>
        <v>0.006549212042741314</v>
      </c>
      <c r="J35" t="s">
        <v>411</v>
      </c>
      <c r="O35" s="13">
        <f>SUM(H30:H35)</f>
        <v>14872127</v>
      </c>
    </row>
    <row r="36" spans="2:9" ht="15">
      <c r="B36" t="s">
        <v>30</v>
      </c>
      <c r="D36" s="7"/>
      <c r="F36" s="3"/>
      <c r="G36" s="3"/>
      <c r="H36" s="2">
        <f t="shared" si="0"/>
        <v>0</v>
      </c>
      <c r="I36" s="4" t="e">
        <f t="shared" si="2"/>
        <v>#DIV/0!</v>
      </c>
    </row>
    <row r="37" spans="2:15" ht="15">
      <c r="B37" t="s">
        <v>31</v>
      </c>
      <c r="D37" s="7">
        <v>-430461950</v>
      </c>
      <c r="F37" s="130">
        <v>-463842024</v>
      </c>
      <c r="G37" s="3"/>
      <c r="H37" s="2">
        <f t="shared" si="0"/>
        <v>-33380074</v>
      </c>
      <c r="I37" s="4">
        <f t="shared" si="2"/>
        <v>0.07754477254029073</v>
      </c>
      <c r="O37" s="181">
        <v>18507947</v>
      </c>
    </row>
    <row r="38" spans="2:15" ht="15">
      <c r="H38" s="2">
        <f t="shared" si="0"/>
        <v>0</v>
      </c>
      <c r="O38" s="12">
        <f>+O37-O35</f>
        <v>3635820</v>
      </c>
    </row>
    <row r="39" spans="2:8" ht="15">
      <c r="B39" t="s">
        <v>33</v>
      </c>
      <c r="H39" s="2">
        <f t="shared" si="0"/>
        <v>0</v>
      </c>
    </row>
    <row r="40" spans="2:11" ht="15">
      <c r="B40" t="s">
        <v>34</v>
      </c>
      <c r="D40" s="7">
        <v>35889688.59</v>
      </c>
      <c r="F40" s="130">
        <v>43580581.81</v>
      </c>
      <c r="G40" s="3"/>
      <c r="H40" s="2">
        <f t="shared" si="0"/>
        <v>7690893.219999999</v>
      </c>
      <c r="I40" s="4">
        <f aca="true" t="shared" si="3" ref="I40:I46">+H40/D40</f>
        <v>0.2142925592879879</v>
      </c>
      <c r="J40" t="s">
        <v>413</v>
      </c>
      <c r="K40" s="5"/>
    </row>
    <row r="41" spans="2:10" ht="15">
      <c r="B41" t="s">
        <v>35</v>
      </c>
      <c r="D41" s="6">
        <v>55766683.3</v>
      </c>
      <c r="F41" s="130">
        <v>63016881.32</v>
      </c>
      <c r="G41" s="3"/>
      <c r="H41" s="2">
        <f t="shared" si="0"/>
        <v>7250198.020000003</v>
      </c>
      <c r="I41" s="4">
        <f t="shared" si="3"/>
        <v>0.13000948937553192</v>
      </c>
      <c r="J41" t="s">
        <v>413</v>
      </c>
    </row>
    <row r="42" spans="2:9" ht="15">
      <c r="B42" t="s">
        <v>36</v>
      </c>
      <c r="D42" s="7">
        <v>0</v>
      </c>
      <c r="F42" s="3">
        <v>0</v>
      </c>
      <c r="G42" s="3"/>
      <c r="H42" s="2">
        <f t="shared" si="0"/>
        <v>0</v>
      </c>
      <c r="I42" s="4" t="e">
        <f t="shared" si="3"/>
        <v>#DIV/0!</v>
      </c>
    </row>
    <row r="43" spans="2:9" ht="15">
      <c r="B43" t="s">
        <v>37</v>
      </c>
      <c r="D43" s="7">
        <v>462471080</v>
      </c>
      <c r="F43" s="3">
        <v>462471080</v>
      </c>
      <c r="G43" s="3"/>
      <c r="H43" s="2">
        <f t="shared" si="0"/>
        <v>0</v>
      </c>
      <c r="I43" s="4">
        <f t="shared" si="3"/>
        <v>0</v>
      </c>
    </row>
    <row r="44" spans="2:9" ht="15">
      <c r="B44" t="s">
        <v>38</v>
      </c>
      <c r="D44" s="7">
        <v>121828197.02</v>
      </c>
      <c r="F44" s="3">
        <v>121828197.02</v>
      </c>
      <c r="G44" s="3"/>
      <c r="H44" s="2">
        <f t="shared" si="0"/>
        <v>0</v>
      </c>
      <c r="I44" s="4">
        <f t="shared" si="3"/>
        <v>0</v>
      </c>
    </row>
    <row r="45" spans="2:9" ht="15">
      <c r="B45" t="s">
        <v>39</v>
      </c>
      <c r="D45" s="7">
        <f>448478286.02</f>
        <v>448478286.02</v>
      </c>
      <c r="F45" s="3">
        <f>448478286.02</f>
        <v>448478286.02</v>
      </c>
      <c r="G45" s="3"/>
      <c r="H45" s="2">
        <f t="shared" si="0"/>
        <v>0</v>
      </c>
      <c r="I45" s="4">
        <f t="shared" si="3"/>
        <v>0</v>
      </c>
    </row>
    <row r="46" spans="2:9" ht="15">
      <c r="B46" t="s">
        <v>40</v>
      </c>
      <c r="D46" s="7">
        <v>-462471080.22</v>
      </c>
      <c r="F46" s="3">
        <v>-462471080.22</v>
      </c>
      <c r="G46" s="3"/>
      <c r="H46" s="2">
        <f t="shared" si="0"/>
        <v>0</v>
      </c>
      <c r="I46" s="4">
        <f t="shared" si="3"/>
        <v>0</v>
      </c>
    </row>
    <row r="47" spans="2:8" ht="15">
      <c r="H47" s="2">
        <f t="shared" si="0"/>
        <v>0</v>
      </c>
    </row>
    <row r="48" spans="2:7" ht="15">
      <c r="B48" s="9" t="s">
        <v>41</v>
      </c>
      <c r="C48" s="9"/>
      <c r="D48" s="10">
        <f>SUM(D2:D47)</f>
        <v>2505872683.1899996</v>
      </c>
      <c r="E48" s="10"/>
      <c r="F48" s="10">
        <f>SUM(F2:F47)</f>
        <v>2492136700.5099993</v>
      </c>
      <c r="G48" s="10"/>
    </row>
    <row r="49" spans="2:8" ht="15">
      <c r="H49" s="2">
        <f t="shared" si="0"/>
        <v>0</v>
      </c>
    </row>
    <row r="50" spans="2:8" ht="15">
      <c r="F50" s="13"/>
      <c r="H50" s="2">
        <f t="shared" si="0"/>
        <v>0</v>
      </c>
    </row>
    <row r="51" spans="2:8" ht="15">
      <c r="B51" t="s">
        <v>42</v>
      </c>
      <c r="H51" s="2">
        <f t="shared" si="0"/>
        <v>0</v>
      </c>
    </row>
    <row r="52" spans="2:8" ht="15">
      <c r="B52" t="s">
        <v>43</v>
      </c>
      <c r="H52" s="2">
        <f t="shared" si="0"/>
        <v>0</v>
      </c>
    </row>
    <row r="53" spans="2:15" ht="15">
      <c r="B53" t="s">
        <v>44</v>
      </c>
      <c r="D53" s="7">
        <v>352896616</v>
      </c>
      <c r="F53" s="130">
        <v>389003545</v>
      </c>
      <c r="G53" s="3"/>
      <c r="H53" s="2">
        <f t="shared" si="0"/>
        <v>36106929</v>
      </c>
      <c r="I53" s="4">
        <f aca="true" t="shared" si="4" ref="I53:I64">+H53/D53</f>
        <v>0.10231588335774804</v>
      </c>
      <c r="J53" t="s">
        <v>412</v>
      </c>
      <c r="O53" s="13">
        <f>SUM(H53:H60)</f>
        <v>-91160115.44000001</v>
      </c>
    </row>
    <row r="54" spans="2:11" ht="15">
      <c r="B54" t="s">
        <v>45</v>
      </c>
      <c r="D54" s="7">
        <v>142513998.21</v>
      </c>
      <c r="F54" s="130">
        <v>97656489</v>
      </c>
      <c r="G54" s="3"/>
      <c r="H54" s="2">
        <f t="shared" si="0"/>
        <v>-44857509.21000001</v>
      </c>
      <c r="I54" s="4">
        <f t="shared" si="4"/>
        <v>-0.31475861861584076</v>
      </c>
      <c r="J54" t="s">
        <v>413</v>
      </c>
      <c r="K54" s="479"/>
    </row>
    <row r="55" spans="2:11" ht="15">
      <c r="B55" t="s">
        <v>46</v>
      </c>
      <c r="D55" s="7">
        <v>834740911</v>
      </c>
      <c r="F55" s="130">
        <v>761910071</v>
      </c>
      <c r="G55" s="3"/>
      <c r="H55" s="2">
        <f t="shared" si="0"/>
        <v>-72830840</v>
      </c>
      <c r="I55" s="4">
        <f t="shared" si="4"/>
        <v>-0.08724963523442306</v>
      </c>
      <c r="J55" t="s">
        <v>413</v>
      </c>
      <c r="K55" s="479"/>
    </row>
    <row r="56" spans="2:10" ht="15">
      <c r="B56" t="s">
        <v>47</v>
      </c>
      <c r="D56" s="6">
        <v>4173533</v>
      </c>
      <c r="F56" s="130">
        <v>3778726</v>
      </c>
      <c r="G56" s="3"/>
      <c r="H56" s="2">
        <f t="shared" si="0"/>
        <v>-394807</v>
      </c>
      <c r="I56" s="4">
        <f t="shared" si="4"/>
        <v>-0.09459779040922882</v>
      </c>
      <c r="J56" t="s">
        <v>413</v>
      </c>
    </row>
    <row r="57" spans="2:10" ht="15">
      <c r="B57" t="s">
        <v>48</v>
      </c>
      <c r="D57" s="7">
        <v>8541887</v>
      </c>
      <c r="F57" s="130">
        <v>8416800</v>
      </c>
      <c r="G57" s="3"/>
      <c r="H57" s="2">
        <f t="shared" si="0"/>
        <v>-125087</v>
      </c>
      <c r="I57" s="4">
        <f t="shared" si="4"/>
        <v>-0.014643953964738705</v>
      </c>
      <c r="J57" t="s">
        <v>413</v>
      </c>
    </row>
    <row r="58" spans="2:9" ht="15">
      <c r="B58" t="s">
        <v>49</v>
      </c>
      <c r="D58" s="11">
        <v>0</v>
      </c>
      <c r="F58" s="130">
        <v>0</v>
      </c>
      <c r="G58" s="3"/>
      <c r="H58" s="2">
        <f t="shared" si="0"/>
        <v>0</v>
      </c>
      <c r="I58" s="4" t="e">
        <f t="shared" si="4"/>
        <v>#DIV/0!</v>
      </c>
    </row>
    <row r="59" spans="2:10" ht="15">
      <c r="B59" t="s">
        <v>50</v>
      </c>
      <c r="D59" s="11">
        <v>8704878</v>
      </c>
      <c r="F59" s="130">
        <v>8902078</v>
      </c>
      <c r="G59" s="3"/>
      <c r="H59" s="2">
        <f t="shared" si="0"/>
        <v>197200</v>
      </c>
      <c r="I59" s="4">
        <f t="shared" si="4"/>
        <v>0.022653964822941804</v>
      </c>
      <c r="J59" t="s">
        <v>412</v>
      </c>
    </row>
    <row r="60" spans="2:10" ht="15">
      <c r="B60" t="s">
        <v>51</v>
      </c>
      <c r="D60" s="7">
        <v>9272001.23</v>
      </c>
      <c r="F60" s="130">
        <v>16000</v>
      </c>
      <c r="G60" s="3"/>
      <c r="H60" s="2">
        <f t="shared" si="0"/>
        <v>-9256001.23</v>
      </c>
      <c r="I60" s="4"/>
      <c r="J60" t="s">
        <v>413</v>
      </c>
    </row>
    <row r="61" spans="2:9" ht="15">
      <c r="B61" t="s">
        <v>52</v>
      </c>
      <c r="D61" s="7"/>
      <c r="F61" s="3"/>
      <c r="G61" s="3"/>
      <c r="H61" s="2">
        <f t="shared" si="0"/>
        <v>0</v>
      </c>
      <c r="I61" s="4" t="e">
        <f t="shared" si="4"/>
        <v>#DIV/0!</v>
      </c>
    </row>
    <row r="62" spans="2:9" ht="15">
      <c r="B62" t="s">
        <v>53</v>
      </c>
      <c r="D62" s="7"/>
      <c r="F62" s="3"/>
      <c r="G62" s="3"/>
      <c r="H62" s="2">
        <f t="shared" si="0"/>
        <v>0</v>
      </c>
      <c r="I62" s="4" t="e">
        <f t="shared" si="4"/>
        <v>#DIV/0!</v>
      </c>
    </row>
    <row r="63" spans="2:10" ht="15">
      <c r="B63" t="s">
        <v>54</v>
      </c>
      <c r="D63" s="7">
        <f>8608653.81</f>
        <v>8608653.81</v>
      </c>
      <c r="F63" s="130">
        <v>15933266.81</v>
      </c>
      <c r="G63" s="3"/>
      <c r="H63" s="2">
        <f t="shared" si="0"/>
        <v>7324613</v>
      </c>
      <c r="I63" s="4">
        <f t="shared" si="4"/>
        <v>0.8508430193222045</v>
      </c>
      <c r="J63" t="s">
        <v>412</v>
      </c>
    </row>
    <row r="64" spans="2:10" ht="15">
      <c r="B64" t="s">
        <v>55</v>
      </c>
      <c r="D64" s="7">
        <v>73069141</v>
      </c>
      <c r="F64" s="130">
        <v>86670972.2</v>
      </c>
      <c r="G64" s="3"/>
      <c r="H64" s="2">
        <f t="shared" si="0"/>
        <v>13601831.200000003</v>
      </c>
      <c r="I64" s="4">
        <f t="shared" si="4"/>
        <v>0.1861501451070843</v>
      </c>
      <c r="J64" t="s">
        <v>412</v>
      </c>
    </row>
    <row r="65" ht="15">
      <c r="H65" s="2">
        <f t="shared" si="0"/>
        <v>0</v>
      </c>
    </row>
    <row r="66" spans="2:8" ht="15">
      <c r="B66" t="s">
        <v>56</v>
      </c>
      <c r="H66" s="2">
        <f t="shared" si="0"/>
        <v>0</v>
      </c>
    </row>
    <row r="67" spans="2:8" ht="15">
      <c r="B67" t="s">
        <v>57</v>
      </c>
      <c r="H67" s="2">
        <f t="shared" si="0"/>
        <v>0</v>
      </c>
    </row>
    <row r="68" spans="2:9" ht="15">
      <c r="B68" t="s">
        <v>58</v>
      </c>
      <c r="D68" s="7">
        <v>0</v>
      </c>
      <c r="F68" s="3">
        <v>0</v>
      </c>
      <c r="G68" s="3"/>
      <c r="H68" s="2">
        <f t="shared" si="0"/>
        <v>0</v>
      </c>
      <c r="I68" s="4" t="e">
        <f>+H68/D68</f>
        <v>#DIV/0!</v>
      </c>
    </row>
    <row r="69" spans="2:10" ht="15">
      <c r="B69" t="s">
        <v>59</v>
      </c>
      <c r="D69" s="7">
        <v>0</v>
      </c>
      <c r="F69" s="130">
        <v>52066727</v>
      </c>
      <c r="G69" s="3"/>
      <c r="H69" s="2">
        <f aca="true" t="shared" si="5" ref="H69:H91">+F69-D69</f>
        <v>52066727</v>
      </c>
      <c r="I69" s="4" t="e">
        <f>+H69/D69</f>
        <v>#DIV/0!</v>
      </c>
      <c r="J69" t="s">
        <v>412</v>
      </c>
    </row>
    <row r="70" spans="2:9" ht="15">
      <c r="B70" t="s">
        <v>60</v>
      </c>
      <c r="D70" s="7">
        <v>0</v>
      </c>
      <c r="F70" s="3">
        <v>0</v>
      </c>
      <c r="G70" s="3"/>
      <c r="H70" s="2">
        <f t="shared" si="5"/>
        <v>0</v>
      </c>
      <c r="I70" s="4" t="e">
        <f>+H70/D70</f>
        <v>#DIV/0!</v>
      </c>
    </row>
    <row r="71" spans="2:10" ht="15">
      <c r="B71" t="s">
        <v>61</v>
      </c>
      <c r="D71" s="7">
        <v>23917884</v>
      </c>
      <c r="F71" s="130">
        <v>26234828</v>
      </c>
      <c r="G71" s="3"/>
      <c r="H71" s="2">
        <f t="shared" si="5"/>
        <v>2316944</v>
      </c>
      <c r="I71" s="4">
        <f>+H71/D71</f>
        <v>0.09687077669579801</v>
      </c>
      <c r="J71" t="s">
        <v>412</v>
      </c>
    </row>
    <row r="72" spans="2:10" ht="15">
      <c r="B72" t="s">
        <v>62</v>
      </c>
      <c r="D72" s="7">
        <f>3285275+79077375</f>
        <v>82362650</v>
      </c>
      <c r="F72" s="3">
        <v>11904160</v>
      </c>
      <c r="G72" s="3"/>
      <c r="H72" s="2">
        <f t="shared" si="5"/>
        <v>-70458490</v>
      </c>
      <c r="I72" s="4">
        <f>+H72/D72</f>
        <v>-0.8554665251785852</v>
      </c>
      <c r="J72" t="s">
        <v>413</v>
      </c>
    </row>
    <row r="73" spans="4:8" ht="15">
      <c r="D73" s="7"/>
      <c r="F73" s="7"/>
      <c r="G73" s="7"/>
      <c r="H73" s="2">
        <f t="shared" si="5"/>
        <v>0</v>
      </c>
    </row>
    <row r="74" spans="2:7" ht="15">
      <c r="B74" s="9" t="s">
        <v>63</v>
      </c>
      <c r="C74" s="9"/>
      <c r="D74" s="10">
        <f>SUM(D53:D72)</f>
        <v>1548802153.25</v>
      </c>
      <c r="E74" s="10"/>
      <c r="F74" s="10">
        <f>SUM(F53:F72)</f>
        <v>1462493663.01</v>
      </c>
      <c r="G74" s="10"/>
    </row>
    <row r="75" ht="15">
      <c r="H75" s="2">
        <f t="shared" si="5"/>
        <v>0</v>
      </c>
    </row>
    <row r="76" spans="2:8" ht="15">
      <c r="B76" t="s">
        <v>64</v>
      </c>
      <c r="H76" s="2">
        <f t="shared" si="5"/>
        <v>0</v>
      </c>
    </row>
    <row r="77" spans="2:9" ht="15">
      <c r="B77" t="s">
        <v>65</v>
      </c>
      <c r="D77" s="7">
        <v>381290478.32</v>
      </c>
      <c r="F77" s="130">
        <v>398642451.32</v>
      </c>
      <c r="G77" s="3"/>
      <c r="H77" s="2">
        <f t="shared" si="5"/>
        <v>17351973</v>
      </c>
      <c r="I77" s="4">
        <f>+H77/D77</f>
        <v>0.04550854004132059</v>
      </c>
    </row>
    <row r="78" spans="2:9" ht="15">
      <c r="B78" t="s">
        <v>66</v>
      </c>
      <c r="H78" s="2">
        <f t="shared" si="5"/>
        <v>0</v>
      </c>
      <c r="I78" s="4" t="e">
        <f aca="true" t="shared" si="6" ref="I78:I87">+H78/D78</f>
        <v>#DIV/0!</v>
      </c>
    </row>
    <row r="79" spans="2:9" ht="15">
      <c r="B79" t="s">
        <v>67</v>
      </c>
      <c r="D79" s="7">
        <v>151864711</v>
      </c>
      <c r="F79" s="3">
        <v>151864711</v>
      </c>
      <c r="G79" s="3"/>
      <c r="H79" s="2">
        <f t="shared" si="5"/>
        <v>0</v>
      </c>
      <c r="I79" s="4">
        <f t="shared" si="6"/>
        <v>0</v>
      </c>
    </row>
    <row r="80" spans="2:9" ht="15">
      <c r="B80" t="s">
        <v>68</v>
      </c>
      <c r="D80" s="7">
        <v>378056300.12</v>
      </c>
      <c r="F80" s="3">
        <v>378056300.12</v>
      </c>
      <c r="G80" s="3"/>
      <c r="H80" s="2">
        <f t="shared" si="5"/>
        <v>0</v>
      </c>
      <c r="I80" s="4">
        <f t="shared" si="6"/>
        <v>0</v>
      </c>
    </row>
    <row r="81" spans="2:9" ht="15">
      <c r="B81" t="s">
        <v>69</v>
      </c>
      <c r="D81" s="7">
        <v>88573421.98</v>
      </c>
      <c r="F81" s="3">
        <v>88573421.98</v>
      </c>
      <c r="G81" s="3"/>
      <c r="H81" s="2">
        <f t="shared" si="5"/>
        <v>0</v>
      </c>
      <c r="I81" s="4">
        <f t="shared" si="6"/>
        <v>0</v>
      </c>
    </row>
    <row r="82" spans="2:9" ht="15">
      <c r="B82" t="s">
        <v>70</v>
      </c>
      <c r="D82" s="7">
        <v>10562811</v>
      </c>
      <c r="F82" s="3">
        <v>10562811</v>
      </c>
      <c r="G82" s="3"/>
      <c r="H82" s="2">
        <f t="shared" si="5"/>
        <v>0</v>
      </c>
      <c r="I82" s="4">
        <f t="shared" si="6"/>
        <v>0</v>
      </c>
    </row>
    <row r="83" spans="2:11" ht="15">
      <c r="B83" t="s">
        <v>71</v>
      </c>
      <c r="D83" s="11">
        <v>127455053.27</v>
      </c>
      <c r="F83" s="11">
        <v>127455053.27</v>
      </c>
      <c r="G83" s="3"/>
      <c r="H83" s="2">
        <f t="shared" si="5"/>
        <v>0</v>
      </c>
      <c r="I83" s="4">
        <f t="shared" si="6"/>
        <v>0</v>
      </c>
      <c r="K83" s="5"/>
    </row>
    <row r="84" spans="2:9" ht="15">
      <c r="B84" t="s">
        <v>72</v>
      </c>
      <c r="D84" s="7">
        <v>4285400</v>
      </c>
      <c r="F84" s="3">
        <v>4285400</v>
      </c>
      <c r="G84" s="3"/>
      <c r="H84" s="2">
        <f t="shared" si="5"/>
        <v>0</v>
      </c>
      <c r="I84" s="4">
        <f t="shared" si="6"/>
        <v>0</v>
      </c>
    </row>
    <row r="85" spans="2:9" ht="15">
      <c r="B85" t="s">
        <v>39</v>
      </c>
      <c r="D85" s="7">
        <f>448478286.02</f>
        <v>448478286.02</v>
      </c>
      <c r="F85" s="3">
        <f>448478286.02</f>
        <v>448478286.02</v>
      </c>
      <c r="G85" s="3"/>
      <c r="H85" s="2">
        <f t="shared" si="5"/>
        <v>0</v>
      </c>
      <c r="I85" s="4">
        <f t="shared" si="6"/>
        <v>0</v>
      </c>
    </row>
    <row r="86" spans="2:9" ht="15">
      <c r="B86" t="s">
        <v>73</v>
      </c>
      <c r="D86" s="7">
        <v>-178769834.25</v>
      </c>
      <c r="F86" s="12">
        <f>-454726097.52-178769834.25</f>
        <v>-633495931.77</v>
      </c>
      <c r="G86" s="3"/>
      <c r="H86" s="2">
        <f t="shared" si="5"/>
        <v>-454726097.52</v>
      </c>
      <c r="I86" s="4">
        <f t="shared" si="6"/>
        <v>2.5436399794614677</v>
      </c>
    </row>
    <row r="87" spans="2:9" ht="15">
      <c r="B87" t="s">
        <v>74</v>
      </c>
      <c r="D87" s="12">
        <v>-454726097.52</v>
      </c>
      <c r="F87" s="12">
        <v>55220534.56</v>
      </c>
      <c r="G87" s="12"/>
      <c r="H87" s="2">
        <f t="shared" si="5"/>
        <v>509946632.08</v>
      </c>
      <c r="I87" s="4">
        <f t="shared" si="6"/>
        <v>-1.1214369152357069</v>
      </c>
    </row>
    <row r="88" ht="15">
      <c r="H88" s="2">
        <f t="shared" si="5"/>
        <v>0</v>
      </c>
    </row>
    <row r="89" spans="2:8" ht="15">
      <c r="B89" t="s">
        <v>75</v>
      </c>
      <c r="D89" s="10">
        <f>SUM(D77:D88)</f>
        <v>957070529.94</v>
      </c>
      <c r="E89" s="10"/>
      <c r="F89" s="10">
        <f>SUM(F77:F88)</f>
        <v>1029643037.5</v>
      </c>
      <c r="G89" s="10"/>
      <c r="H89" s="2">
        <f t="shared" si="5"/>
        <v>72572507.55999994</v>
      </c>
    </row>
    <row r="90" ht="15">
      <c r="H90" s="2">
        <f t="shared" si="5"/>
        <v>0</v>
      </c>
    </row>
    <row r="91" spans="2:9" ht="15">
      <c r="B91" t="s">
        <v>76</v>
      </c>
      <c r="D91" s="10">
        <f>+D74+D89</f>
        <v>2505872683.19</v>
      </c>
      <c r="E91" s="10"/>
      <c r="F91" s="10">
        <f>+F74+F89</f>
        <v>2492136700.51</v>
      </c>
      <c r="G91" s="10"/>
      <c r="H91" s="2">
        <f t="shared" si="5"/>
        <v>-13735982.679999828</v>
      </c>
      <c r="I91" s="13"/>
    </row>
    <row r="93" spans="4:6" ht="15">
      <c r="D93" s="12">
        <f>+D91-D48</f>
        <v>0</v>
      </c>
      <c r="F93" s="12"/>
    </row>
    <row r="96" spans="4:6" ht="15">
      <c r="D96" s="14"/>
      <c r="F96" s="14"/>
    </row>
    <row r="97" spans="4:6" ht="15">
      <c r="D97" s="14"/>
      <c r="F97" s="14"/>
    </row>
    <row r="98" spans="4:6" ht="15">
      <c r="D98" s="14"/>
      <c r="F98" s="14"/>
    </row>
  </sheetData>
  <sheetProtection/>
  <mergeCells count="1">
    <mergeCell ref="K54:K5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5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31">
      <selection activeCell="B37" sqref="B37"/>
    </sheetView>
  </sheetViews>
  <sheetFormatPr defaultColWidth="11.421875" defaultRowHeight="15"/>
  <cols>
    <col min="1" max="1" width="36.7109375" style="79" customWidth="1"/>
    <col min="2" max="2" width="21.28125" style="79" bestFit="1" customWidth="1"/>
    <col min="3" max="3" width="21.140625" style="79" bestFit="1" customWidth="1"/>
    <col min="4" max="4" width="19.00390625" style="79" bestFit="1" customWidth="1"/>
    <col min="5" max="5" width="10.00390625" style="79" customWidth="1"/>
    <col min="6" max="16384" width="11.421875" style="79" customWidth="1"/>
  </cols>
  <sheetData>
    <row r="1" spans="1:5" ht="12.75">
      <c r="A1" s="503" t="s">
        <v>254</v>
      </c>
      <c r="B1" s="503"/>
      <c r="C1" s="503"/>
      <c r="D1" s="503"/>
      <c r="E1" s="503"/>
    </row>
    <row r="2" spans="1:5" ht="12.75">
      <c r="A2" s="503" t="s">
        <v>255</v>
      </c>
      <c r="B2" s="503"/>
      <c r="C2" s="503"/>
      <c r="D2" s="503"/>
      <c r="E2" s="503"/>
    </row>
    <row r="3" spans="1:5" ht="12.75">
      <c r="A3" s="80"/>
      <c r="B3" s="80"/>
      <c r="C3" s="80"/>
      <c r="D3" s="80"/>
      <c r="E3" s="80"/>
    </row>
    <row r="4" spans="1:5" ht="12.75">
      <c r="A4" s="503" t="s">
        <v>256</v>
      </c>
      <c r="B4" s="503"/>
      <c r="C4" s="503"/>
      <c r="D4" s="503"/>
      <c r="E4" s="78"/>
    </row>
    <row r="5" spans="1:5" ht="12.75">
      <c r="A5" s="78"/>
      <c r="B5" s="78"/>
      <c r="C5" s="78"/>
      <c r="D5" s="78"/>
      <c r="E5" s="78"/>
    </row>
    <row r="6" spans="1:5" ht="12.75">
      <c r="A6" s="503" t="s">
        <v>257</v>
      </c>
      <c r="B6" s="503"/>
      <c r="C6" s="503"/>
      <c r="D6" s="503"/>
      <c r="E6" s="503"/>
    </row>
    <row r="7" spans="1:5" ht="12.75">
      <c r="A7" s="80" t="s">
        <v>258</v>
      </c>
      <c r="B7" s="80"/>
      <c r="C7" s="80"/>
      <c r="D7" s="80"/>
      <c r="E7" s="80"/>
    </row>
    <row r="8" spans="1:5" ht="12.75">
      <c r="A8" s="78" t="s">
        <v>259</v>
      </c>
      <c r="B8" s="81">
        <v>42004</v>
      </c>
      <c r="C8" s="81">
        <v>41639</v>
      </c>
      <c r="D8" s="78" t="s">
        <v>260</v>
      </c>
      <c r="E8" s="78" t="s">
        <v>82</v>
      </c>
    </row>
    <row r="10" spans="1:4" ht="15">
      <c r="A10" s="80" t="s">
        <v>261</v>
      </c>
      <c r="B10" s="80"/>
      <c r="C10" s="82"/>
      <c r="D10" s="82"/>
    </row>
    <row r="11" spans="1:2" ht="12.75">
      <c r="A11" s="80" t="s">
        <v>262</v>
      </c>
      <c r="B11" s="80"/>
    </row>
    <row r="12" spans="1:5" ht="15">
      <c r="A12" s="83" t="s">
        <v>137</v>
      </c>
      <c r="B12" s="84">
        <v>94051200</v>
      </c>
      <c r="C12" s="84">
        <v>84785633</v>
      </c>
      <c r="D12" s="84">
        <f>+B12-C12</f>
        <v>9265567</v>
      </c>
      <c r="E12" s="85">
        <f>+D12/C12</f>
        <v>0.1092822766328819</v>
      </c>
    </row>
    <row r="13" spans="1:5" ht="15">
      <c r="A13" s="83" t="s">
        <v>263</v>
      </c>
      <c r="B13" s="84">
        <v>297267</v>
      </c>
      <c r="C13" s="84">
        <v>488856</v>
      </c>
      <c r="D13" s="84">
        <f aca="true" t="shared" si="0" ref="D13:D32">+B13-C13</f>
        <v>-191589</v>
      </c>
      <c r="E13" s="85">
        <f aca="true" t="shared" si="1" ref="E13:E32">+D13/C13</f>
        <v>-0.39191295596249204</v>
      </c>
    </row>
    <row r="14" spans="1:5" ht="15">
      <c r="A14" s="79" t="s">
        <v>139</v>
      </c>
      <c r="B14" s="84">
        <v>903560</v>
      </c>
      <c r="C14" s="84">
        <v>1683220</v>
      </c>
      <c r="D14" s="84">
        <f t="shared" si="0"/>
        <v>-779660</v>
      </c>
      <c r="E14" s="85">
        <f t="shared" si="1"/>
        <v>-0.46319554187806705</v>
      </c>
    </row>
    <row r="15" spans="1:5" ht="15">
      <c r="A15" s="83" t="s">
        <v>140</v>
      </c>
      <c r="B15" s="84">
        <v>8997495</v>
      </c>
      <c r="C15" s="84">
        <v>7715301</v>
      </c>
      <c r="D15" s="84">
        <f t="shared" si="0"/>
        <v>1282194</v>
      </c>
      <c r="E15" s="85">
        <f t="shared" si="1"/>
        <v>0.16618846108531604</v>
      </c>
    </row>
    <row r="16" spans="1:5" ht="15">
      <c r="A16" s="83" t="s">
        <v>264</v>
      </c>
      <c r="B16" s="84">
        <v>1024142</v>
      </c>
      <c r="C16" s="84">
        <v>843769</v>
      </c>
      <c r="D16" s="84">
        <f t="shared" si="0"/>
        <v>180373</v>
      </c>
      <c r="E16" s="85">
        <f t="shared" si="1"/>
        <v>0.21377059361033648</v>
      </c>
    </row>
    <row r="17" spans="1:5" ht="15">
      <c r="A17" s="83" t="s">
        <v>265</v>
      </c>
      <c r="B17" s="84">
        <v>8006526</v>
      </c>
      <c r="C17" s="84">
        <v>6926036</v>
      </c>
      <c r="D17" s="84">
        <f t="shared" si="0"/>
        <v>1080490</v>
      </c>
      <c r="E17" s="85">
        <f t="shared" si="1"/>
        <v>0.1560040981594667</v>
      </c>
    </row>
    <row r="18" spans="1:5" ht="15">
      <c r="A18" s="83" t="s">
        <v>143</v>
      </c>
      <c r="B18" s="84">
        <v>5001139</v>
      </c>
      <c r="C18" s="84">
        <v>4727721</v>
      </c>
      <c r="D18" s="84">
        <f t="shared" si="0"/>
        <v>273418</v>
      </c>
      <c r="E18" s="85">
        <f t="shared" si="1"/>
        <v>0.057832938957269264</v>
      </c>
    </row>
    <row r="19" spans="1:5" ht="15">
      <c r="A19" s="83" t="s">
        <v>144</v>
      </c>
      <c r="B19" s="84">
        <v>7853300</v>
      </c>
      <c r="C19" s="84">
        <v>7347629</v>
      </c>
      <c r="D19" s="84">
        <f t="shared" si="0"/>
        <v>505671</v>
      </c>
      <c r="E19" s="85">
        <f t="shared" si="1"/>
        <v>0.0688209761271289</v>
      </c>
    </row>
    <row r="20" spans="1:5" ht="15">
      <c r="A20" s="83" t="s">
        <v>145</v>
      </c>
      <c r="B20" s="84">
        <v>0</v>
      </c>
      <c r="C20" s="84">
        <v>6553600</v>
      </c>
      <c r="D20" s="84">
        <f t="shared" si="0"/>
        <v>-6553600</v>
      </c>
      <c r="E20" s="85">
        <f t="shared" si="1"/>
        <v>-1</v>
      </c>
    </row>
    <row r="21" spans="1:5" ht="15">
      <c r="A21" s="83" t="s">
        <v>146</v>
      </c>
      <c r="B21" s="84">
        <v>2053266</v>
      </c>
      <c r="C21" s="84">
        <v>589500</v>
      </c>
      <c r="D21" s="84">
        <f t="shared" si="0"/>
        <v>1463766</v>
      </c>
      <c r="E21" s="85">
        <f t="shared" si="1"/>
        <v>2.4830636132315522</v>
      </c>
    </row>
    <row r="22" spans="1:5" ht="15">
      <c r="A22" s="83" t="s">
        <v>266</v>
      </c>
      <c r="B22" s="84">
        <v>0</v>
      </c>
      <c r="C22" s="84">
        <v>182821</v>
      </c>
      <c r="D22" s="84">
        <f t="shared" si="0"/>
        <v>-182821</v>
      </c>
      <c r="E22" s="85">
        <f t="shared" si="1"/>
        <v>-1</v>
      </c>
    </row>
    <row r="23" spans="1:5" ht="15">
      <c r="A23" s="83" t="s">
        <v>267</v>
      </c>
      <c r="B23" s="84">
        <v>9453849</v>
      </c>
      <c r="C23" s="84">
        <v>8809668</v>
      </c>
      <c r="D23" s="84">
        <f t="shared" si="0"/>
        <v>644181</v>
      </c>
      <c r="E23" s="85">
        <f t="shared" si="1"/>
        <v>0.07312205181852482</v>
      </c>
    </row>
    <row r="24" spans="1:5" ht="15">
      <c r="A24" s="83" t="s">
        <v>268</v>
      </c>
      <c r="B24" s="84">
        <v>13274012</v>
      </c>
      <c r="C24" s="84">
        <v>11396922</v>
      </c>
      <c r="D24" s="84">
        <f t="shared" si="0"/>
        <v>1877090</v>
      </c>
      <c r="E24" s="85">
        <f t="shared" si="1"/>
        <v>0.1647014869453349</v>
      </c>
    </row>
    <row r="25" spans="1:5" ht="15">
      <c r="A25" s="83" t="s">
        <v>269</v>
      </c>
      <c r="B25" s="84">
        <v>1134900</v>
      </c>
      <c r="C25" s="84">
        <v>1081800</v>
      </c>
      <c r="D25" s="84">
        <f t="shared" si="0"/>
        <v>53100</v>
      </c>
      <c r="E25" s="85">
        <f t="shared" si="1"/>
        <v>0.04908485856905158</v>
      </c>
    </row>
    <row r="26" spans="1:5" ht="15">
      <c r="A26" s="83" t="s">
        <v>270</v>
      </c>
      <c r="B26" s="84">
        <v>4346900</v>
      </c>
      <c r="C26" s="84">
        <v>4145900</v>
      </c>
      <c r="D26" s="84">
        <f t="shared" si="0"/>
        <v>201000</v>
      </c>
      <c r="E26" s="85">
        <f t="shared" si="1"/>
        <v>0.04848163245616151</v>
      </c>
    </row>
    <row r="27" spans="1:5" ht="15">
      <c r="A27" s="83" t="s">
        <v>271</v>
      </c>
      <c r="B27" s="84">
        <v>3260300</v>
      </c>
      <c r="C27" s="84">
        <v>3109300</v>
      </c>
      <c r="D27" s="84">
        <f t="shared" si="0"/>
        <v>151000</v>
      </c>
      <c r="E27" s="85">
        <f t="shared" si="1"/>
        <v>0.04856398546296594</v>
      </c>
    </row>
    <row r="28" spans="1:5" ht="15">
      <c r="A28" s="83" t="s">
        <v>272</v>
      </c>
      <c r="B28" s="84">
        <v>2173200</v>
      </c>
      <c r="C28" s="84">
        <v>2072700</v>
      </c>
      <c r="D28" s="84">
        <f t="shared" si="0"/>
        <v>100500</v>
      </c>
      <c r="E28" s="85">
        <f t="shared" si="1"/>
        <v>0.048487480098422346</v>
      </c>
    </row>
    <row r="29" spans="1:5" ht="15">
      <c r="A29" s="83" t="s">
        <v>210</v>
      </c>
      <c r="B29" s="84">
        <v>630267</v>
      </c>
      <c r="C29" s="84">
        <v>471600</v>
      </c>
      <c r="D29" s="84">
        <f t="shared" si="0"/>
        <v>158667</v>
      </c>
      <c r="E29" s="85">
        <f t="shared" si="1"/>
        <v>0.3364440203562341</v>
      </c>
    </row>
    <row r="30" spans="1:5" ht="15">
      <c r="A30" s="83" t="s">
        <v>153</v>
      </c>
      <c r="B30" s="84">
        <v>3788213</v>
      </c>
      <c r="C30" s="84">
        <v>3347720</v>
      </c>
      <c r="D30" s="84">
        <f t="shared" si="0"/>
        <v>440493</v>
      </c>
      <c r="E30" s="85">
        <f t="shared" si="1"/>
        <v>0.13158000071690584</v>
      </c>
    </row>
    <row r="31" spans="1:5" ht="15">
      <c r="A31" s="83"/>
      <c r="B31" s="83"/>
      <c r="C31" s="84" t="s">
        <v>273</v>
      </c>
      <c r="D31" s="84"/>
      <c r="E31" s="85"/>
    </row>
    <row r="32" spans="1:5" ht="12.75">
      <c r="A32" s="80" t="s">
        <v>274</v>
      </c>
      <c r="B32" s="86">
        <f>SUM(B12:B30)</f>
        <v>166249536</v>
      </c>
      <c r="C32" s="86">
        <f>SUM(C12:C30)</f>
        <v>156279696</v>
      </c>
      <c r="D32" s="86">
        <f t="shared" si="0"/>
        <v>9969840</v>
      </c>
      <c r="E32" s="87">
        <f t="shared" si="1"/>
        <v>0.0637948515077736</v>
      </c>
    </row>
    <row r="33" spans="3:5" ht="15">
      <c r="C33" s="84"/>
      <c r="D33" s="84"/>
      <c r="E33" s="88"/>
    </row>
    <row r="34" spans="3:5" ht="15">
      <c r="C34" s="84"/>
      <c r="D34" s="84"/>
      <c r="E34" s="88"/>
    </row>
    <row r="35" spans="1:5" ht="15">
      <c r="A35" s="80" t="s">
        <v>275</v>
      </c>
      <c r="B35" s="80"/>
      <c r="C35" s="84"/>
      <c r="D35" s="84"/>
      <c r="E35" s="88"/>
    </row>
    <row r="36" spans="1:5" ht="15">
      <c r="A36" s="79" t="s">
        <v>211</v>
      </c>
      <c r="B36" s="84">
        <v>28660700</v>
      </c>
      <c r="C36" s="84">
        <f>21460000+1000000+4292000+500000+500000</f>
        <v>27752000</v>
      </c>
      <c r="D36" s="84">
        <f>+B36-C36</f>
        <v>908700</v>
      </c>
      <c r="E36" s="85">
        <f>+D36/C36</f>
        <v>0.03274358604785241</v>
      </c>
    </row>
    <row r="37" spans="1:5" ht="15">
      <c r="A37" s="79" t="s">
        <v>276</v>
      </c>
      <c r="B37" s="84">
        <v>16730500</v>
      </c>
      <c r="C37" s="84">
        <v>15760044</v>
      </c>
      <c r="D37" s="84">
        <f aca="true" t="shared" si="2" ref="D37:D91">+B37-C37</f>
        <v>970456</v>
      </c>
      <c r="E37" s="85">
        <f aca="true" t="shared" si="3" ref="E37:E91">+D37/C37</f>
        <v>0.0615769854449645</v>
      </c>
    </row>
    <row r="38" spans="1:5" ht="15">
      <c r="A38" s="79" t="s">
        <v>175</v>
      </c>
      <c r="B38" s="84">
        <v>0</v>
      </c>
      <c r="C38" s="84">
        <v>0</v>
      </c>
      <c r="D38" s="84">
        <f>+B38-C38</f>
        <v>0</v>
      </c>
      <c r="E38" s="85" t="e">
        <f>+D38/C38</f>
        <v>#DIV/0!</v>
      </c>
    </row>
    <row r="39" spans="1:5" ht="15">
      <c r="A39" s="79" t="s">
        <v>157</v>
      </c>
      <c r="B39" s="84">
        <v>8905461</v>
      </c>
      <c r="C39" s="89">
        <v>11082454</v>
      </c>
      <c r="D39" s="84">
        <f t="shared" si="2"/>
        <v>-2176993</v>
      </c>
      <c r="E39" s="85">
        <f t="shared" si="3"/>
        <v>-0.19643600596041275</v>
      </c>
    </row>
    <row r="40" spans="1:5" ht="15">
      <c r="A40" s="79" t="s">
        <v>189</v>
      </c>
      <c r="B40" s="84">
        <f>8414770+80000</f>
        <v>8494770</v>
      </c>
      <c r="C40" s="84">
        <v>11418472</v>
      </c>
      <c r="D40" s="84">
        <f t="shared" si="2"/>
        <v>-2923702</v>
      </c>
      <c r="E40" s="85">
        <f t="shared" si="3"/>
        <v>-0.25605019655869893</v>
      </c>
    </row>
    <row r="41" spans="1:5" ht="15">
      <c r="A41" s="79" t="s">
        <v>277</v>
      </c>
      <c r="B41" s="84">
        <v>7592419</v>
      </c>
      <c r="C41" s="84">
        <v>7145012</v>
      </c>
      <c r="D41" s="84">
        <f t="shared" si="2"/>
        <v>447407</v>
      </c>
      <c r="E41" s="85">
        <f t="shared" si="3"/>
        <v>0.06261808937479742</v>
      </c>
    </row>
    <row r="42" spans="1:5" ht="15">
      <c r="A42" s="79" t="s">
        <v>212</v>
      </c>
      <c r="B42" s="84">
        <v>5800683</v>
      </c>
      <c r="C42" s="84">
        <v>5974758</v>
      </c>
      <c r="D42" s="84">
        <f t="shared" si="2"/>
        <v>-174075</v>
      </c>
      <c r="E42" s="85">
        <f t="shared" si="3"/>
        <v>-0.029135071244726564</v>
      </c>
    </row>
    <row r="43" spans="1:5" ht="15">
      <c r="A43" s="79" t="s">
        <v>278</v>
      </c>
      <c r="B43" s="84">
        <f>359000+6925753+5915370+4965077+935140</f>
        <v>19100340</v>
      </c>
      <c r="C43" s="89">
        <v>21380914</v>
      </c>
      <c r="D43" s="84">
        <f t="shared" si="2"/>
        <v>-2280574</v>
      </c>
      <c r="E43" s="85">
        <f t="shared" si="3"/>
        <v>-0.10666400884452368</v>
      </c>
    </row>
    <row r="44" spans="1:5" ht="15">
      <c r="A44" s="79" t="s">
        <v>279</v>
      </c>
      <c r="B44" s="84">
        <v>718880</v>
      </c>
      <c r="C44" s="84">
        <v>950312</v>
      </c>
      <c r="D44" s="84">
        <f t="shared" si="2"/>
        <v>-231432</v>
      </c>
      <c r="E44" s="85">
        <f t="shared" si="3"/>
        <v>-0.24353265032957597</v>
      </c>
    </row>
    <row r="45" spans="1:5" ht="15">
      <c r="A45" s="83" t="s">
        <v>216</v>
      </c>
      <c r="B45" s="84">
        <v>484900</v>
      </c>
      <c r="C45" s="84"/>
      <c r="D45" s="84">
        <f>+B45-C45</f>
        <v>484900</v>
      </c>
      <c r="E45" s="85">
        <v>1</v>
      </c>
    </row>
    <row r="46" spans="1:5" ht="15">
      <c r="A46" s="79" t="s">
        <v>280</v>
      </c>
      <c r="B46" s="84">
        <v>8261858</v>
      </c>
      <c r="C46" s="84">
        <v>6875646</v>
      </c>
      <c r="D46" s="84">
        <f>+B46-C46</f>
        <v>1386212</v>
      </c>
      <c r="E46" s="85">
        <f>+D46/C46</f>
        <v>0.20161189217711326</v>
      </c>
    </row>
    <row r="47" spans="1:5" ht="15">
      <c r="A47" s="79" t="s">
        <v>215</v>
      </c>
      <c r="B47" s="84">
        <v>156740</v>
      </c>
      <c r="C47" s="84">
        <v>1425280</v>
      </c>
      <c r="D47" s="84">
        <f>+B47-C47</f>
        <v>-1268540</v>
      </c>
      <c r="E47" s="85">
        <f>+D47/C47</f>
        <v>-0.8900286259541985</v>
      </c>
    </row>
    <row r="48" spans="1:5" ht="15">
      <c r="A48" s="79" t="s">
        <v>162</v>
      </c>
      <c r="B48" s="84">
        <v>1018163</v>
      </c>
      <c r="C48" s="84">
        <v>1700000</v>
      </c>
      <c r="D48" s="84">
        <f t="shared" si="2"/>
        <v>-681837</v>
      </c>
      <c r="E48" s="85">
        <f t="shared" si="3"/>
        <v>-0.40108058823529413</v>
      </c>
    </row>
    <row r="49" spans="1:5" ht="15">
      <c r="A49" s="79" t="s">
        <v>281</v>
      </c>
      <c r="B49" s="84">
        <v>2353000</v>
      </c>
      <c r="C49" s="84">
        <v>2629475</v>
      </c>
      <c r="D49" s="84">
        <f t="shared" si="2"/>
        <v>-276475</v>
      </c>
      <c r="E49" s="85">
        <f t="shared" si="3"/>
        <v>-0.105144563078181</v>
      </c>
    </row>
    <row r="50" spans="1:5" ht="15">
      <c r="A50" s="79" t="s">
        <v>219</v>
      </c>
      <c r="B50" s="84">
        <v>24801799</v>
      </c>
      <c r="C50" s="84">
        <v>20554492</v>
      </c>
      <c r="D50" s="84">
        <f t="shared" si="2"/>
        <v>4247307</v>
      </c>
      <c r="E50" s="85">
        <f t="shared" si="3"/>
        <v>0.2066364374269138</v>
      </c>
    </row>
    <row r="51" spans="1:5" ht="15">
      <c r="A51" s="79" t="s">
        <v>220</v>
      </c>
      <c r="B51" s="84">
        <v>2441900</v>
      </c>
      <c r="C51" s="84">
        <v>2562450</v>
      </c>
      <c r="D51" s="84">
        <f t="shared" si="2"/>
        <v>-120550</v>
      </c>
      <c r="E51" s="85">
        <f t="shared" si="3"/>
        <v>-0.04704482038673925</v>
      </c>
    </row>
    <row r="52" spans="1:5" ht="15">
      <c r="A52" s="79" t="s">
        <v>191</v>
      </c>
      <c r="B52" s="84">
        <v>29550100</v>
      </c>
      <c r="C52" s="84">
        <v>28520914</v>
      </c>
      <c r="D52" s="84">
        <f t="shared" si="2"/>
        <v>1029186</v>
      </c>
      <c r="E52" s="85">
        <f t="shared" si="3"/>
        <v>0.036085309187496584</v>
      </c>
    </row>
    <row r="53" spans="1:5" ht="15">
      <c r="A53" s="79" t="s">
        <v>221</v>
      </c>
      <c r="B53" s="84">
        <v>5673043</v>
      </c>
      <c r="C53" s="84">
        <v>2440872</v>
      </c>
      <c r="D53" s="84">
        <f t="shared" si="2"/>
        <v>3232171</v>
      </c>
      <c r="E53" s="85">
        <f t="shared" si="3"/>
        <v>1.3241870118547798</v>
      </c>
    </row>
    <row r="54" spans="1:5" ht="15">
      <c r="A54" s="79" t="s">
        <v>223</v>
      </c>
      <c r="B54" s="84">
        <v>0</v>
      </c>
      <c r="C54" s="84">
        <v>180000</v>
      </c>
      <c r="D54" s="84">
        <f t="shared" si="2"/>
        <v>-180000</v>
      </c>
      <c r="E54" s="85">
        <f t="shared" si="3"/>
        <v>-1</v>
      </c>
    </row>
    <row r="55" spans="1:5" ht="15">
      <c r="A55" s="79" t="s">
        <v>72</v>
      </c>
      <c r="B55" s="84">
        <v>0</v>
      </c>
      <c r="C55" s="84">
        <v>50000</v>
      </c>
      <c r="D55" s="84">
        <f t="shared" si="2"/>
        <v>-50000</v>
      </c>
      <c r="E55" s="85">
        <f t="shared" si="3"/>
        <v>-1</v>
      </c>
    </row>
    <row r="56" spans="1:5" ht="15">
      <c r="A56" s="79" t="s">
        <v>282</v>
      </c>
      <c r="B56" s="84">
        <v>0</v>
      </c>
      <c r="C56" s="84">
        <v>3921212</v>
      </c>
      <c r="D56" s="84">
        <f t="shared" si="2"/>
        <v>-3921212</v>
      </c>
      <c r="E56" s="85">
        <f t="shared" si="3"/>
        <v>-1</v>
      </c>
    </row>
    <row r="57" spans="1:5" ht="15">
      <c r="A57" s="79" t="s">
        <v>283</v>
      </c>
      <c r="B57" s="84">
        <v>5357883</v>
      </c>
      <c r="C57" s="84">
        <f>8980101.53-4480089</f>
        <v>4500012.529999999</v>
      </c>
      <c r="D57" s="84">
        <f t="shared" si="2"/>
        <v>857870.4700000007</v>
      </c>
      <c r="E57" s="85">
        <f t="shared" si="3"/>
        <v>0.1906373514031084</v>
      </c>
    </row>
    <row r="58" spans="1:5" ht="15">
      <c r="A58" s="79" t="s">
        <v>15</v>
      </c>
      <c r="B58" s="84">
        <f>209000</f>
        <v>209000</v>
      </c>
      <c r="C58" s="84">
        <v>75208</v>
      </c>
      <c r="D58" s="84">
        <f t="shared" si="2"/>
        <v>133792</v>
      </c>
      <c r="E58" s="85">
        <f t="shared" si="3"/>
        <v>1.7789596851398788</v>
      </c>
    </row>
    <row r="59" spans="1:5" ht="15">
      <c r="A59" s="79" t="s">
        <v>284</v>
      </c>
      <c r="B59" s="84">
        <v>219552</v>
      </c>
      <c r="C59" s="84">
        <v>0</v>
      </c>
      <c r="D59" s="84">
        <f t="shared" si="2"/>
        <v>219552</v>
      </c>
      <c r="E59" s="85">
        <v>1</v>
      </c>
    </row>
    <row r="60" spans="2:5" ht="15">
      <c r="B60" s="84"/>
      <c r="C60" s="84"/>
      <c r="D60" s="84">
        <f>+B60-C60</f>
        <v>0</v>
      </c>
      <c r="E60" s="85">
        <v>2</v>
      </c>
    </row>
    <row r="61" spans="1:5" ht="15">
      <c r="A61" s="79" t="s">
        <v>285</v>
      </c>
      <c r="B61" s="84">
        <v>242000</v>
      </c>
      <c r="C61" s="84">
        <v>49600</v>
      </c>
      <c r="D61" s="84">
        <f t="shared" si="2"/>
        <v>192400</v>
      </c>
      <c r="E61" s="85">
        <f t="shared" si="3"/>
        <v>3.879032258064516</v>
      </c>
    </row>
    <row r="62" spans="1:5" ht="15">
      <c r="A62" s="79" t="s">
        <v>286</v>
      </c>
      <c r="B62" s="84">
        <v>574955</v>
      </c>
      <c r="C62" s="84">
        <v>293301</v>
      </c>
      <c r="D62" s="84">
        <f t="shared" si="2"/>
        <v>281654</v>
      </c>
      <c r="E62" s="85">
        <f t="shared" si="3"/>
        <v>0.9602899410503203</v>
      </c>
    </row>
    <row r="63" spans="1:5" ht="15">
      <c r="A63" s="79" t="s">
        <v>287</v>
      </c>
      <c r="B63" s="84">
        <v>290350</v>
      </c>
      <c r="C63" s="84">
        <v>0</v>
      </c>
      <c r="D63" s="84">
        <f t="shared" si="2"/>
        <v>290350</v>
      </c>
      <c r="E63" s="85">
        <v>1</v>
      </c>
    </row>
    <row r="64" spans="1:5" ht="15">
      <c r="A64" s="79" t="s">
        <v>288</v>
      </c>
      <c r="B64" s="84">
        <v>4482249</v>
      </c>
      <c r="C64" s="84">
        <v>3800544</v>
      </c>
      <c r="D64" s="84">
        <f t="shared" si="2"/>
        <v>681705</v>
      </c>
      <c r="E64" s="85">
        <f t="shared" si="3"/>
        <v>0.17937037434640934</v>
      </c>
    </row>
    <row r="65" spans="1:5" ht="15">
      <c r="A65" s="79" t="s">
        <v>289</v>
      </c>
      <c r="B65" s="84">
        <v>1982035</v>
      </c>
      <c r="C65" s="84">
        <v>1889863</v>
      </c>
      <c r="D65" s="84">
        <f t="shared" si="2"/>
        <v>92172</v>
      </c>
      <c r="E65" s="85">
        <f t="shared" si="3"/>
        <v>0.04877178927784712</v>
      </c>
    </row>
    <row r="66" spans="1:5" ht="15">
      <c r="A66" s="79" t="s">
        <v>290</v>
      </c>
      <c r="B66" s="84">
        <v>773700</v>
      </c>
      <c r="C66" s="84">
        <v>739200</v>
      </c>
      <c r="D66" s="84">
        <f t="shared" si="2"/>
        <v>34500</v>
      </c>
      <c r="E66" s="85">
        <f t="shared" si="3"/>
        <v>0.04667207792207792</v>
      </c>
    </row>
    <row r="67" spans="1:5" ht="15">
      <c r="A67" s="79" t="s">
        <v>291</v>
      </c>
      <c r="B67" s="84"/>
      <c r="C67" s="84">
        <v>0</v>
      </c>
      <c r="D67" s="84">
        <f t="shared" si="2"/>
        <v>0</v>
      </c>
      <c r="E67" s="85" t="e">
        <f t="shared" si="3"/>
        <v>#DIV/0!</v>
      </c>
    </row>
    <row r="68" spans="1:5" ht="15">
      <c r="A68" s="79" t="s">
        <v>292</v>
      </c>
      <c r="B68" s="84">
        <v>2683751</v>
      </c>
      <c r="C68" s="84">
        <v>2386121</v>
      </c>
      <c r="D68" s="84">
        <f t="shared" si="2"/>
        <v>297630</v>
      </c>
      <c r="E68" s="85">
        <f t="shared" si="3"/>
        <v>0.12473382531732465</v>
      </c>
    </row>
    <row r="69" spans="1:5" ht="15">
      <c r="A69" s="79" t="s">
        <v>293</v>
      </c>
      <c r="B69" s="84"/>
      <c r="C69" s="84">
        <v>734274</v>
      </c>
      <c r="D69" s="84">
        <f t="shared" si="2"/>
        <v>-734274</v>
      </c>
      <c r="E69" s="85">
        <f t="shared" si="3"/>
        <v>-1</v>
      </c>
    </row>
    <row r="70" spans="1:5" ht="15">
      <c r="A70" s="79" t="s">
        <v>294</v>
      </c>
      <c r="B70" s="84">
        <v>5333303</v>
      </c>
      <c r="C70" s="84">
        <v>14355950</v>
      </c>
      <c r="D70" s="84">
        <f t="shared" si="2"/>
        <v>-9022647</v>
      </c>
      <c r="E70" s="85">
        <f t="shared" si="3"/>
        <v>-0.6284952928924941</v>
      </c>
    </row>
    <row r="71" spans="1:5" ht="15">
      <c r="A71" s="79" t="s">
        <v>295</v>
      </c>
      <c r="B71" s="84">
        <v>2312000</v>
      </c>
      <c r="C71" s="84">
        <v>1593150</v>
      </c>
      <c r="D71" s="84">
        <f t="shared" si="2"/>
        <v>718850</v>
      </c>
      <c r="E71" s="85">
        <f t="shared" si="3"/>
        <v>0.45121300568056993</v>
      </c>
    </row>
    <row r="72" spans="1:5" ht="15">
      <c r="A72" s="79" t="s">
        <v>296</v>
      </c>
      <c r="B72" s="84">
        <v>799200</v>
      </c>
      <c r="C72" s="84">
        <v>648200</v>
      </c>
      <c r="D72" s="84">
        <f t="shared" si="2"/>
        <v>151000</v>
      </c>
      <c r="E72" s="85">
        <f t="shared" si="3"/>
        <v>0.23295279234804073</v>
      </c>
    </row>
    <row r="73" spans="1:5" ht="15">
      <c r="A73" s="83" t="s">
        <v>297</v>
      </c>
      <c r="B73" s="84">
        <v>824565</v>
      </c>
      <c r="C73" s="84">
        <v>485453</v>
      </c>
      <c r="D73" s="84">
        <f t="shared" si="2"/>
        <v>339112</v>
      </c>
      <c r="E73" s="85">
        <f t="shared" si="3"/>
        <v>0.69854754219255</v>
      </c>
    </row>
    <row r="74" spans="1:5" ht="15">
      <c r="A74" s="83" t="s">
        <v>298</v>
      </c>
      <c r="B74" s="84">
        <v>290350</v>
      </c>
      <c r="C74" s="84">
        <v>117500</v>
      </c>
      <c r="D74" s="84">
        <f t="shared" si="2"/>
        <v>172850</v>
      </c>
      <c r="E74" s="85">
        <f t="shared" si="3"/>
        <v>1.471063829787234</v>
      </c>
    </row>
    <row r="75" spans="1:5" ht="15">
      <c r="A75" s="83" t="s">
        <v>299</v>
      </c>
      <c r="B75" s="84"/>
      <c r="C75" s="84">
        <v>885618</v>
      </c>
      <c r="D75" s="84">
        <f t="shared" si="2"/>
        <v>-885618</v>
      </c>
      <c r="E75" s="85">
        <f t="shared" si="3"/>
        <v>-1</v>
      </c>
    </row>
    <row r="76" spans="1:5" ht="15">
      <c r="A76" s="83" t="s">
        <v>300</v>
      </c>
      <c r="B76" s="84">
        <v>135000</v>
      </c>
      <c r="C76" s="84"/>
      <c r="D76" s="84">
        <f t="shared" si="2"/>
        <v>135000</v>
      </c>
      <c r="E76" s="85" t="e">
        <f t="shared" si="3"/>
        <v>#DIV/0!</v>
      </c>
    </row>
    <row r="77" spans="1:5" ht="15">
      <c r="A77" s="83" t="s">
        <v>301</v>
      </c>
      <c r="B77" s="84">
        <v>210000</v>
      </c>
      <c r="C77" s="84">
        <v>70500</v>
      </c>
      <c r="D77" s="84">
        <f t="shared" si="2"/>
        <v>139500</v>
      </c>
      <c r="E77" s="85">
        <f t="shared" si="3"/>
        <v>1.9787234042553192</v>
      </c>
    </row>
    <row r="78" spans="1:5" ht="15">
      <c r="A78" s="83" t="s">
        <v>302</v>
      </c>
      <c r="B78" s="84">
        <v>13159810.31</v>
      </c>
      <c r="C78" s="84">
        <v>0</v>
      </c>
      <c r="D78" s="84">
        <f t="shared" si="2"/>
        <v>13159810.31</v>
      </c>
      <c r="E78" s="85" t="e">
        <f t="shared" si="3"/>
        <v>#DIV/0!</v>
      </c>
    </row>
    <row r="79" spans="1:5" ht="15">
      <c r="A79" s="83" t="s">
        <v>303</v>
      </c>
      <c r="B79" s="84">
        <v>739335</v>
      </c>
      <c r="C79" s="84">
        <v>0</v>
      </c>
      <c r="D79" s="84">
        <f t="shared" si="2"/>
        <v>739335</v>
      </c>
      <c r="E79" s="85" t="e">
        <f t="shared" si="3"/>
        <v>#DIV/0!</v>
      </c>
    </row>
    <row r="80" spans="1:5" ht="15">
      <c r="A80" s="83" t="s">
        <v>227</v>
      </c>
      <c r="B80" s="84">
        <v>7061852</v>
      </c>
      <c r="C80" s="84">
        <v>0</v>
      </c>
      <c r="D80" s="84">
        <f t="shared" si="2"/>
        <v>7061852</v>
      </c>
      <c r="E80" s="85" t="e">
        <f t="shared" si="3"/>
        <v>#DIV/0!</v>
      </c>
    </row>
    <row r="81" spans="1:5" ht="15">
      <c r="A81" s="79" t="s">
        <v>304</v>
      </c>
      <c r="B81" s="84">
        <v>699000</v>
      </c>
      <c r="C81" s="84">
        <v>0</v>
      </c>
      <c r="D81" s="84">
        <f t="shared" si="2"/>
        <v>699000</v>
      </c>
      <c r="E81" s="85" t="e">
        <f t="shared" si="3"/>
        <v>#DIV/0!</v>
      </c>
    </row>
    <row r="82" spans="1:5" ht="15">
      <c r="A82" s="79" t="s">
        <v>305</v>
      </c>
      <c r="B82" s="84">
        <v>60000</v>
      </c>
      <c r="C82" s="84">
        <v>0</v>
      </c>
      <c r="D82" s="84">
        <f t="shared" si="2"/>
        <v>60000</v>
      </c>
      <c r="E82" s="85" t="e">
        <f t="shared" si="3"/>
        <v>#DIV/0!</v>
      </c>
    </row>
    <row r="83" spans="1:5" ht="15">
      <c r="A83" s="79" t="s">
        <v>306</v>
      </c>
      <c r="B83" s="84">
        <v>386600</v>
      </c>
      <c r="C83" s="84">
        <v>0</v>
      </c>
      <c r="D83" s="84">
        <f t="shared" si="2"/>
        <v>386600</v>
      </c>
      <c r="E83" s="85" t="e">
        <f t="shared" si="3"/>
        <v>#DIV/0!</v>
      </c>
    </row>
    <row r="84" spans="1:5" ht="15">
      <c r="A84" s="79" t="s">
        <v>307</v>
      </c>
      <c r="B84" s="84">
        <v>2319750</v>
      </c>
      <c r="C84" s="84">
        <v>0</v>
      </c>
      <c r="D84" s="84">
        <f t="shared" si="2"/>
        <v>2319750</v>
      </c>
      <c r="E84" s="85" t="e">
        <f t="shared" si="3"/>
        <v>#DIV/0!</v>
      </c>
    </row>
    <row r="85" spans="1:5" ht="15">
      <c r="A85" s="79" t="s">
        <v>308</v>
      </c>
      <c r="B85" s="84">
        <v>65000</v>
      </c>
      <c r="C85" s="84">
        <v>0</v>
      </c>
      <c r="D85" s="84">
        <f t="shared" si="2"/>
        <v>65000</v>
      </c>
      <c r="E85" s="85" t="e">
        <f t="shared" si="3"/>
        <v>#DIV/0!</v>
      </c>
    </row>
    <row r="86" spans="1:5" ht="15">
      <c r="A86" s="83" t="s">
        <v>309</v>
      </c>
      <c r="B86" s="84">
        <v>1404570</v>
      </c>
      <c r="C86" s="84">
        <v>6848915</v>
      </c>
      <c r="D86" s="84">
        <f t="shared" si="2"/>
        <v>-5444345</v>
      </c>
      <c r="E86" s="85">
        <f t="shared" si="3"/>
        <v>-0.7949208013240053</v>
      </c>
    </row>
    <row r="87" spans="1:5" ht="15">
      <c r="A87" s="83" t="s">
        <v>310</v>
      </c>
      <c r="B87" s="84">
        <v>0</v>
      </c>
      <c r="C87" s="84">
        <v>6000000</v>
      </c>
      <c r="D87" s="84">
        <f t="shared" si="2"/>
        <v>-6000000</v>
      </c>
      <c r="E87" s="85">
        <f t="shared" si="3"/>
        <v>-1</v>
      </c>
    </row>
    <row r="88" spans="1:5" ht="15">
      <c r="A88" s="83" t="s">
        <v>311</v>
      </c>
      <c r="B88" s="84">
        <v>0</v>
      </c>
      <c r="C88" s="84">
        <v>0</v>
      </c>
      <c r="D88" s="84">
        <f t="shared" si="2"/>
        <v>0</v>
      </c>
      <c r="E88" s="85" t="e">
        <f t="shared" si="3"/>
        <v>#DIV/0!</v>
      </c>
    </row>
    <row r="89" spans="1:5" ht="15">
      <c r="A89" s="83" t="s">
        <v>312</v>
      </c>
      <c r="B89" s="84">
        <v>375000</v>
      </c>
      <c r="C89" s="84">
        <v>210000</v>
      </c>
      <c r="D89" s="84">
        <f t="shared" si="2"/>
        <v>165000</v>
      </c>
      <c r="E89" s="85">
        <f t="shared" si="3"/>
        <v>0.7857142857142857</v>
      </c>
    </row>
    <row r="90" spans="1:5" ht="15">
      <c r="A90" s="83" t="s">
        <v>313</v>
      </c>
      <c r="B90" s="84">
        <v>0</v>
      </c>
      <c r="C90" s="84">
        <v>25000</v>
      </c>
      <c r="D90" s="84">
        <f t="shared" si="2"/>
        <v>-25000</v>
      </c>
      <c r="E90" s="85">
        <f t="shared" si="3"/>
        <v>-1</v>
      </c>
    </row>
    <row r="91" spans="3:5" ht="15">
      <c r="C91" s="84"/>
      <c r="D91" s="84">
        <f t="shared" si="2"/>
        <v>0</v>
      </c>
      <c r="E91" s="85" t="e">
        <f t="shared" si="3"/>
        <v>#DIV/0!</v>
      </c>
    </row>
    <row r="92" spans="3:5" ht="15">
      <c r="C92" s="84"/>
      <c r="D92" s="84"/>
      <c r="E92" s="85"/>
    </row>
    <row r="93" spans="1:5" ht="12.75">
      <c r="A93" s="80" t="s">
        <v>314</v>
      </c>
      <c r="B93" s="90">
        <f>SUM(B36:B90)</f>
        <v>223736066.31</v>
      </c>
      <c r="C93" s="90">
        <f>SUM(C36:C90)</f>
        <v>218032716.53</v>
      </c>
      <c r="D93" s="86">
        <f>+B93-C93</f>
        <v>5703349.780000001</v>
      </c>
      <c r="E93" s="87">
        <f>+D93/C93</f>
        <v>0.026158229236277274</v>
      </c>
    </row>
    <row r="94" spans="3:5" ht="15">
      <c r="C94" s="88"/>
      <c r="D94" s="84"/>
      <c r="E94" s="91"/>
    </row>
    <row r="95" spans="1:5" ht="12.75">
      <c r="A95" s="80" t="s">
        <v>315</v>
      </c>
      <c r="B95" s="86">
        <f>+B32+B93</f>
        <v>389985602.31</v>
      </c>
      <c r="C95" s="86">
        <f>+C32+C93</f>
        <v>374312412.53</v>
      </c>
      <c r="D95" s="86">
        <f>+B95-C95</f>
        <v>15673189.780000031</v>
      </c>
      <c r="E95" s="92">
        <f>+D95/C95</f>
        <v>0.0418719477509816</v>
      </c>
    </row>
    <row r="96" spans="1:5" ht="12.75">
      <c r="A96" s="80"/>
      <c r="B96" s="80"/>
      <c r="C96" s="86"/>
      <c r="D96" s="86"/>
      <c r="E96" s="90"/>
    </row>
    <row r="97" spans="1:5" ht="12.75">
      <c r="A97" s="80"/>
      <c r="B97" s="80"/>
      <c r="C97" s="86"/>
      <c r="D97" s="86"/>
      <c r="E97" s="90"/>
    </row>
    <row r="101" spans="1:2" ht="15">
      <c r="A101" s="79" t="s">
        <v>316</v>
      </c>
      <c r="B101" s="84">
        <v>24331770</v>
      </c>
    </row>
  </sheetData>
  <sheetProtection/>
  <mergeCells count="4">
    <mergeCell ref="A1:E1"/>
    <mergeCell ref="A2:E2"/>
    <mergeCell ref="A4:D4"/>
    <mergeCell ref="A6:E6"/>
  </mergeCells>
  <printOptions/>
  <pageMargins left="1.3779527559055118" right="0.5905511811023623" top="0.1968503937007874" bottom="0.1968503937007874" header="0.31496062992125984" footer="0.31496062992125984"/>
  <pageSetup horizontalDpi="300" verticalDpi="300" orientation="landscape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D33"/>
  <sheetViews>
    <sheetView zoomScalePageLayoutView="0" workbookViewId="0" topLeftCell="A4">
      <selection activeCell="D19" sqref="D19"/>
    </sheetView>
  </sheetViews>
  <sheetFormatPr defaultColWidth="11.421875" defaultRowHeight="15"/>
  <cols>
    <col min="1" max="1" width="12.57421875" style="0" bestFit="1" customWidth="1"/>
    <col min="2" max="2" width="36.140625" style="0" bestFit="1" customWidth="1"/>
    <col min="3" max="3" width="16.7109375" style="173" bestFit="1" customWidth="1"/>
    <col min="4" max="4" width="15.57421875" style="0" bestFit="1" customWidth="1"/>
  </cols>
  <sheetData>
    <row r="3" spans="1:3" ht="15">
      <c r="A3" s="166" t="s">
        <v>439</v>
      </c>
      <c r="B3" s="164"/>
      <c r="C3" s="170"/>
    </row>
    <row r="4" spans="1:3" ht="15">
      <c r="A4" s="166" t="s">
        <v>432</v>
      </c>
      <c r="B4" s="166" t="s">
        <v>431</v>
      </c>
      <c r="C4" s="170" t="s">
        <v>438</v>
      </c>
    </row>
    <row r="5" spans="1:3" ht="15">
      <c r="A5" s="163" t="s">
        <v>430</v>
      </c>
      <c r="B5" s="163" t="s">
        <v>103</v>
      </c>
      <c r="C5" s="170">
        <v>17351973</v>
      </c>
    </row>
    <row r="6" spans="1:3" ht="15">
      <c r="A6" s="165"/>
      <c r="B6" s="167" t="s">
        <v>94</v>
      </c>
      <c r="C6" s="171">
        <v>36106929</v>
      </c>
    </row>
    <row r="7" spans="1:3" ht="15">
      <c r="A7" s="165"/>
      <c r="B7" s="167" t="s">
        <v>97</v>
      </c>
      <c r="C7" s="171">
        <v>20926444.200000003</v>
      </c>
    </row>
    <row r="8" spans="1:3" ht="15">
      <c r="A8" s="165"/>
      <c r="B8" s="167" t="s">
        <v>100</v>
      </c>
      <c r="C8" s="171">
        <v>52066727</v>
      </c>
    </row>
    <row r="9" spans="1:3" ht="15">
      <c r="A9" s="165"/>
      <c r="B9" s="167" t="s">
        <v>78</v>
      </c>
      <c r="C9" s="171">
        <v>158120130.51</v>
      </c>
    </row>
    <row r="10" spans="1:3" ht="15">
      <c r="A10" s="165"/>
      <c r="B10" s="167" t="s">
        <v>98</v>
      </c>
      <c r="C10" s="171">
        <v>197200</v>
      </c>
    </row>
    <row r="11" spans="1:3" ht="15">
      <c r="A11" s="165"/>
      <c r="B11" s="167" t="s">
        <v>85</v>
      </c>
      <c r="C11" s="171">
        <v>18507946.99999991</v>
      </c>
    </row>
    <row r="12" spans="1:3" ht="15">
      <c r="A12" s="163" t="s">
        <v>435</v>
      </c>
      <c r="B12" s="164"/>
      <c r="C12" s="170">
        <v>303277350.7099999</v>
      </c>
    </row>
    <row r="13" spans="1:3" ht="15">
      <c r="A13" s="163" t="s">
        <v>411</v>
      </c>
      <c r="B13" s="163" t="s">
        <v>79</v>
      </c>
      <c r="C13" s="170">
        <v>3413002.8899999857</v>
      </c>
    </row>
    <row r="14" spans="1:3" ht="15">
      <c r="A14" s="165"/>
      <c r="B14" s="167" t="s">
        <v>83</v>
      </c>
      <c r="C14" s="171">
        <v>28504447.199999988</v>
      </c>
    </row>
    <row r="15" spans="1:3" ht="15">
      <c r="A15" s="165"/>
      <c r="B15" s="167" t="s">
        <v>95</v>
      </c>
      <c r="C15" s="171">
        <v>117813436.21000004</v>
      </c>
    </row>
    <row r="16" spans="1:3" ht="15">
      <c r="A16" s="165"/>
      <c r="B16" s="167" t="s">
        <v>86</v>
      </c>
      <c r="C16" s="171">
        <v>14941091.239999995</v>
      </c>
    </row>
    <row r="17" spans="1:3" ht="15">
      <c r="A17" s="165"/>
      <c r="B17" s="167" t="s">
        <v>96</v>
      </c>
      <c r="C17" s="171">
        <v>9650808.23</v>
      </c>
    </row>
    <row r="18" spans="1:3" ht="15">
      <c r="A18" s="165"/>
      <c r="B18" s="167" t="s">
        <v>99</v>
      </c>
      <c r="C18" s="171">
        <v>68141546</v>
      </c>
    </row>
    <row r="19" spans="1:4" ht="15">
      <c r="A19" s="163" t="s">
        <v>436</v>
      </c>
      <c r="B19" s="164"/>
      <c r="C19" s="170">
        <v>242464331.77</v>
      </c>
      <c r="D19" s="173">
        <f>+GETPIVOTDATA("VARIACION",$A$3,"ESTADO","FUENTES")-GETPIVOTDATA("VARIACION",$A$3,"ESTADO","USO")</f>
        <v>60813018.93999991</v>
      </c>
    </row>
    <row r="20" spans="1:3" ht="15">
      <c r="A20" s="163" t="s">
        <v>433</v>
      </c>
      <c r="B20" s="163" t="s">
        <v>72</v>
      </c>
      <c r="C20" s="170">
        <v>0</v>
      </c>
    </row>
    <row r="21" spans="1:3" ht="15">
      <c r="A21" s="165"/>
      <c r="B21" s="167" t="s">
        <v>77</v>
      </c>
      <c r="C21" s="171">
        <v>116033553.50000006</v>
      </c>
    </row>
    <row r="22" spans="1:3" ht="15">
      <c r="A22" s="165"/>
      <c r="B22" s="167" t="s">
        <v>105</v>
      </c>
      <c r="C22" s="171">
        <v>0</v>
      </c>
    </row>
    <row r="23" spans="1:3" ht="15">
      <c r="A23" s="165"/>
      <c r="B23" s="167" t="s">
        <v>87</v>
      </c>
      <c r="C23" s="171">
        <v>0</v>
      </c>
    </row>
    <row r="24" spans="1:3" ht="15">
      <c r="A24" s="165"/>
      <c r="B24" s="167" t="s">
        <v>365</v>
      </c>
      <c r="C24" s="171">
        <v>0</v>
      </c>
    </row>
    <row r="25" spans="1:3" ht="15">
      <c r="A25" s="165"/>
      <c r="B25" s="167" t="s">
        <v>33</v>
      </c>
      <c r="C25" s="171">
        <v>0</v>
      </c>
    </row>
    <row r="26" spans="1:3" ht="15">
      <c r="A26" s="165"/>
      <c r="B26" s="167" t="s">
        <v>89</v>
      </c>
      <c r="C26" s="171">
        <v>0</v>
      </c>
    </row>
    <row r="27" spans="1:3" ht="15">
      <c r="A27" s="165"/>
      <c r="B27" s="167" t="s">
        <v>104</v>
      </c>
      <c r="C27" s="171">
        <v>0</v>
      </c>
    </row>
    <row r="28" spans="1:3" ht="15">
      <c r="A28" s="165"/>
      <c r="B28" s="167" t="s">
        <v>88</v>
      </c>
      <c r="C28" s="171">
        <v>0</v>
      </c>
    </row>
    <row r="29" spans="1:3" ht="15">
      <c r="A29" s="165"/>
      <c r="B29" s="167" t="s">
        <v>106</v>
      </c>
      <c r="C29" s="171">
        <v>0</v>
      </c>
    </row>
    <row r="30" spans="1:3" ht="15">
      <c r="A30" s="165"/>
      <c r="B30" s="167" t="s">
        <v>39</v>
      </c>
      <c r="C30" s="171">
        <v>0</v>
      </c>
    </row>
    <row r="31" spans="1:3" ht="15">
      <c r="A31" s="165"/>
      <c r="B31" s="167" t="s">
        <v>433</v>
      </c>
      <c r="C31" s="171"/>
    </row>
    <row r="32" spans="1:3" ht="15">
      <c r="A32" s="163" t="s">
        <v>437</v>
      </c>
      <c r="B32" s="164"/>
      <c r="C32" s="170">
        <v>116033553.50000006</v>
      </c>
    </row>
    <row r="33" spans="1:3" ht="15">
      <c r="A33" s="168" t="s">
        <v>434</v>
      </c>
      <c r="B33" s="169"/>
      <c r="C33" s="172">
        <v>661775235.98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18" sqref="E18"/>
    </sheetView>
  </sheetViews>
  <sheetFormatPr defaultColWidth="11.421875" defaultRowHeight="15"/>
  <cols>
    <col min="1" max="1" width="53.421875" style="0" customWidth="1"/>
    <col min="2" max="2" width="6.140625" style="0" bestFit="1" customWidth="1"/>
    <col min="3" max="4" width="18.28125" style="0" bestFit="1" customWidth="1"/>
    <col min="5" max="5" width="19.00390625" style="0" bestFit="1" customWidth="1"/>
    <col min="6" max="6" width="8.7109375" style="0" bestFit="1" customWidth="1"/>
  </cols>
  <sheetData>
    <row r="1" spans="1:6" ht="15">
      <c r="A1" s="124" t="s">
        <v>431</v>
      </c>
      <c r="B1" s="142" t="s">
        <v>111</v>
      </c>
      <c r="C1" s="27">
        <v>2015</v>
      </c>
      <c r="D1" s="27">
        <v>2014</v>
      </c>
      <c r="E1" s="20" t="s">
        <v>81</v>
      </c>
      <c r="F1" s="162" t="s">
        <v>432</v>
      </c>
    </row>
    <row r="2" spans="1:5" ht="15">
      <c r="A2" s="124" t="s">
        <v>77</v>
      </c>
      <c r="B2" s="142">
        <v>2</v>
      </c>
      <c r="C2" s="144">
        <v>470133315.71000004</v>
      </c>
      <c r="D2" s="144">
        <f>355199762.21-D3</f>
        <v>354099762.21</v>
      </c>
      <c r="E2" s="144">
        <f>+C2-D2</f>
        <v>116033553.50000006</v>
      </c>
    </row>
    <row r="3" spans="1:5" ht="15">
      <c r="A3" s="126" t="s">
        <v>365</v>
      </c>
      <c r="B3" s="142">
        <v>3</v>
      </c>
      <c r="C3" s="144">
        <v>1100000</v>
      </c>
      <c r="D3" s="144">
        <v>1100000</v>
      </c>
      <c r="E3" s="144">
        <f>+C3-D3</f>
        <v>0</v>
      </c>
    </row>
    <row r="4" spans="1:6" ht="15">
      <c r="A4" s="124" t="s">
        <v>78</v>
      </c>
      <c r="B4" s="142">
        <v>4</v>
      </c>
      <c r="C4" s="130">
        <v>849058083.58</v>
      </c>
      <c r="D4" s="144">
        <v>1007178214.09</v>
      </c>
      <c r="E4" s="144">
        <f>-C4+D4</f>
        <v>158120130.51</v>
      </c>
      <c r="F4" t="s">
        <v>430</v>
      </c>
    </row>
    <row r="5" spans="1:6" ht="15">
      <c r="A5" s="124" t="s">
        <v>79</v>
      </c>
      <c r="B5" s="142">
        <v>5</v>
      </c>
      <c r="C5" s="144">
        <v>136541356.89</v>
      </c>
      <c r="D5" s="144">
        <v>133128354</v>
      </c>
      <c r="E5" s="144">
        <f>+C5-D5</f>
        <v>3413002.8899999857</v>
      </c>
      <c r="F5" t="s">
        <v>411</v>
      </c>
    </row>
    <row r="6" spans="1:6" ht="15">
      <c r="A6" s="124" t="s">
        <v>83</v>
      </c>
      <c r="B6" s="142">
        <v>6</v>
      </c>
      <c r="C6" s="114">
        <v>148330353.29</v>
      </c>
      <c r="D6" s="114">
        <v>119825906.09</v>
      </c>
      <c r="E6" s="114">
        <f>+C6-D6</f>
        <v>28504447.199999988</v>
      </c>
      <c r="F6" t="s">
        <v>411</v>
      </c>
    </row>
    <row r="7" spans="1:6" ht="15">
      <c r="A7" s="124" t="s">
        <v>85</v>
      </c>
      <c r="B7" s="142">
        <v>7</v>
      </c>
      <c r="C7" s="144">
        <v>210069645.09</v>
      </c>
      <c r="D7" s="144">
        <v>228577592.0899999</v>
      </c>
      <c r="E7" s="144">
        <f>-C7+D7</f>
        <v>18507946.99999991</v>
      </c>
      <c r="F7" t="s">
        <v>430</v>
      </c>
    </row>
    <row r="8" spans="1:6" ht="15">
      <c r="A8" s="124" t="s">
        <v>86</v>
      </c>
      <c r="B8" s="142">
        <v>8</v>
      </c>
      <c r="C8" s="144">
        <v>106597463.13</v>
      </c>
      <c r="D8" s="144">
        <v>91656371.89</v>
      </c>
      <c r="E8" s="144">
        <f aca="true" t="shared" si="0" ref="E8:E14">+C8-D8</f>
        <v>14941091.239999995</v>
      </c>
      <c r="F8" t="s">
        <v>411</v>
      </c>
    </row>
    <row r="9" spans="1:5" ht="15">
      <c r="A9" s="124" t="s">
        <v>33</v>
      </c>
      <c r="B9" s="142">
        <v>9</v>
      </c>
      <c r="C9" s="144">
        <v>0</v>
      </c>
      <c r="D9" s="144">
        <v>0</v>
      </c>
      <c r="E9" s="144">
        <f t="shared" si="0"/>
        <v>0</v>
      </c>
    </row>
    <row r="10" spans="1:5" ht="15">
      <c r="A10" s="124" t="s">
        <v>88</v>
      </c>
      <c r="B10" s="142"/>
      <c r="C10" s="144">
        <v>462471080</v>
      </c>
      <c r="D10" s="144">
        <v>462471080</v>
      </c>
      <c r="E10" s="144">
        <f t="shared" si="0"/>
        <v>0</v>
      </c>
    </row>
    <row r="11" spans="1:5" ht="15">
      <c r="A11" s="124" t="s">
        <v>89</v>
      </c>
      <c r="B11" s="142"/>
      <c r="C11" s="144">
        <v>-462471080.22</v>
      </c>
      <c r="D11" s="144">
        <v>-462471080.22</v>
      </c>
      <c r="E11" s="144">
        <f t="shared" si="0"/>
        <v>0</v>
      </c>
    </row>
    <row r="12" spans="1:5" ht="15">
      <c r="A12" s="124" t="s">
        <v>87</v>
      </c>
      <c r="B12" s="142"/>
      <c r="C12" s="144">
        <v>121828197.02</v>
      </c>
      <c r="D12" s="144">
        <v>121828197.02</v>
      </c>
      <c r="E12" s="144">
        <f t="shared" si="0"/>
        <v>0</v>
      </c>
    </row>
    <row r="13" spans="1:5" ht="15">
      <c r="A13" s="124" t="s">
        <v>39</v>
      </c>
      <c r="B13" s="142"/>
      <c r="C13" s="114">
        <v>448478286.02</v>
      </c>
      <c r="D13" s="114">
        <v>448478286.02</v>
      </c>
      <c r="E13" s="114">
        <f t="shared" si="0"/>
        <v>0</v>
      </c>
    </row>
    <row r="14" spans="1:6" ht="15">
      <c r="A14" s="127" t="s">
        <v>94</v>
      </c>
      <c r="B14" s="142">
        <v>10</v>
      </c>
      <c r="C14" s="130">
        <v>389003545</v>
      </c>
      <c r="D14" s="144">
        <v>352896616</v>
      </c>
      <c r="E14" s="144">
        <f t="shared" si="0"/>
        <v>36106929</v>
      </c>
      <c r="F14" t="s">
        <v>430</v>
      </c>
    </row>
    <row r="15" spans="1:6" ht="15">
      <c r="A15" s="127" t="s">
        <v>95</v>
      </c>
      <c r="B15" s="142">
        <v>11</v>
      </c>
      <c r="C15" s="144">
        <v>867983360</v>
      </c>
      <c r="D15" s="144">
        <v>985796796.21</v>
      </c>
      <c r="E15" s="144">
        <f>(C15-D15)*-1</f>
        <v>117813436.21000004</v>
      </c>
      <c r="F15" t="s">
        <v>411</v>
      </c>
    </row>
    <row r="16" spans="1:6" ht="15">
      <c r="A16" s="127" t="s">
        <v>96</v>
      </c>
      <c r="B16" s="142">
        <v>12</v>
      </c>
      <c r="C16" s="144">
        <v>3794726</v>
      </c>
      <c r="D16" s="144">
        <v>13445534.23</v>
      </c>
      <c r="E16" s="144">
        <f>(C16-D16)*-1</f>
        <v>9650808.23</v>
      </c>
      <c r="F16" t="s">
        <v>411</v>
      </c>
    </row>
    <row r="17" spans="1:6" ht="15">
      <c r="A17" s="127" t="s">
        <v>97</v>
      </c>
      <c r="B17" s="142">
        <v>13</v>
      </c>
      <c r="C17" s="144">
        <v>102604239.01</v>
      </c>
      <c r="D17" s="144">
        <v>81677794.81</v>
      </c>
      <c r="E17" s="144">
        <f>+C17-D17</f>
        <v>20926444.200000003</v>
      </c>
      <c r="F17" t="s">
        <v>430</v>
      </c>
    </row>
    <row r="18" spans="1:6" ht="15">
      <c r="A18" s="127" t="s">
        <v>99</v>
      </c>
      <c r="B18" s="142">
        <v>14</v>
      </c>
      <c r="C18" s="144">
        <v>38138988</v>
      </c>
      <c r="D18" s="144">
        <v>106280534</v>
      </c>
      <c r="E18" s="144">
        <f>(C18-D18)*-1</f>
        <v>68141546</v>
      </c>
      <c r="F18" t="s">
        <v>411</v>
      </c>
    </row>
    <row r="19" spans="1:6" ht="15">
      <c r="A19" s="127" t="s">
        <v>100</v>
      </c>
      <c r="B19" s="142"/>
      <c r="C19" s="130">
        <v>52066727</v>
      </c>
      <c r="D19" s="144">
        <v>0</v>
      </c>
      <c r="E19" s="144">
        <f aca="true" t="shared" si="1" ref="E19:E26">+C19-D19</f>
        <v>52066727</v>
      </c>
      <c r="F19" t="s">
        <v>430</v>
      </c>
    </row>
    <row r="20" spans="1:6" ht="15">
      <c r="A20" s="127" t="s">
        <v>98</v>
      </c>
      <c r="B20" s="142">
        <v>11</v>
      </c>
      <c r="C20" s="130">
        <v>8902078</v>
      </c>
      <c r="D20" s="114">
        <v>8704878</v>
      </c>
      <c r="E20" s="144">
        <f t="shared" si="1"/>
        <v>197200</v>
      </c>
      <c r="F20" t="s">
        <v>430</v>
      </c>
    </row>
    <row r="21" spans="1:6" ht="15">
      <c r="A21" s="124" t="s">
        <v>103</v>
      </c>
      <c r="B21" s="142">
        <v>15</v>
      </c>
      <c r="C21" s="130">
        <v>398642451.32</v>
      </c>
      <c r="D21" s="144">
        <v>381290478.32</v>
      </c>
      <c r="E21" s="144">
        <f t="shared" si="1"/>
        <v>17351973</v>
      </c>
      <c r="F21" t="s">
        <v>430</v>
      </c>
    </row>
    <row r="22" spans="1:5" ht="15">
      <c r="A22" s="124" t="s">
        <v>104</v>
      </c>
      <c r="B22" s="142">
        <v>16</v>
      </c>
      <c r="C22" s="144">
        <v>151864711</v>
      </c>
      <c r="D22" s="144">
        <v>151864711</v>
      </c>
      <c r="E22" s="144">
        <f t="shared" si="1"/>
        <v>0</v>
      </c>
    </row>
    <row r="23" spans="1:5" ht="15">
      <c r="A23" s="124" t="s">
        <v>105</v>
      </c>
      <c r="B23" s="142">
        <v>17</v>
      </c>
      <c r="C23" s="144">
        <v>604647586.37</v>
      </c>
      <c r="D23" s="144">
        <v>604647586.37</v>
      </c>
      <c r="E23" s="144">
        <f t="shared" si="1"/>
        <v>0</v>
      </c>
    </row>
    <row r="24" spans="1:5" ht="15">
      <c r="A24" s="124" t="s">
        <v>106</v>
      </c>
      <c r="B24" s="142"/>
      <c r="C24" s="144"/>
      <c r="D24" s="144"/>
      <c r="E24" s="144">
        <f t="shared" si="1"/>
        <v>0</v>
      </c>
    </row>
    <row r="25" spans="1:5" ht="15">
      <c r="A25" s="124" t="s">
        <v>72</v>
      </c>
      <c r="B25" s="142"/>
      <c r="C25" s="144">
        <v>4285400</v>
      </c>
      <c r="D25" s="144">
        <v>4285400</v>
      </c>
      <c r="E25" s="144">
        <f t="shared" si="1"/>
        <v>0</v>
      </c>
    </row>
    <row r="26" spans="1:5" ht="15">
      <c r="A26" s="124" t="s">
        <v>39</v>
      </c>
      <c r="B26" s="142"/>
      <c r="C26" s="144">
        <v>448478286.02</v>
      </c>
      <c r="D26" s="144">
        <v>448478286.02</v>
      </c>
      <c r="E26" s="144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8"/>
  <sheetViews>
    <sheetView view="pageBreakPreview" zoomScale="60" zoomScalePageLayoutView="0" workbookViewId="0" topLeftCell="A1">
      <selection activeCell="F17" sqref="F17"/>
    </sheetView>
  </sheetViews>
  <sheetFormatPr defaultColWidth="11.421875" defaultRowHeight="15"/>
  <cols>
    <col min="1" max="1" width="3.57421875" style="185" customWidth="1"/>
    <col min="2" max="2" width="60.8515625" style="225" customWidth="1"/>
    <col min="3" max="3" width="12.140625" style="226" customWidth="1"/>
    <col min="4" max="4" width="29.421875" style="185" customWidth="1"/>
    <col min="5" max="5" width="4.00390625" style="185" customWidth="1"/>
    <col min="6" max="6" width="32.00390625" style="227" customWidth="1"/>
    <col min="7" max="7" width="4.00390625" style="185" customWidth="1"/>
    <col min="8" max="8" width="28.421875" style="227" customWidth="1"/>
    <col min="9" max="9" width="4.140625" style="185" customWidth="1"/>
    <col min="10" max="10" width="19.28125" style="228" customWidth="1"/>
    <col min="11" max="11" width="29.00390625" style="185" bestFit="1" customWidth="1"/>
    <col min="12" max="12" width="11.421875" style="185" customWidth="1"/>
    <col min="13" max="13" width="26.140625" style="185" bestFit="1" customWidth="1"/>
    <col min="14" max="16384" width="11.421875" style="185" customWidth="1"/>
  </cols>
  <sheetData>
    <row r="1" spans="1:10" ht="20.25">
      <c r="A1" s="184"/>
      <c r="B1" s="481" t="s">
        <v>91</v>
      </c>
      <c r="C1" s="481"/>
      <c r="D1" s="481"/>
      <c r="E1" s="481"/>
      <c r="F1" s="481"/>
      <c r="G1" s="481"/>
      <c r="H1" s="481"/>
      <c r="I1" s="481"/>
      <c r="J1" s="482"/>
    </row>
    <row r="2" spans="1:10" ht="20.25">
      <c r="A2" s="186"/>
      <c r="B2" s="483" t="s">
        <v>92</v>
      </c>
      <c r="C2" s="483"/>
      <c r="D2" s="483"/>
      <c r="E2" s="483"/>
      <c r="F2" s="483"/>
      <c r="G2" s="483"/>
      <c r="H2" s="483"/>
      <c r="I2" s="483"/>
      <c r="J2" s="484"/>
    </row>
    <row r="3" spans="1:10" ht="20.25">
      <c r="A3" s="186"/>
      <c r="B3" s="483" t="s">
        <v>93</v>
      </c>
      <c r="C3" s="483"/>
      <c r="D3" s="483"/>
      <c r="E3" s="483"/>
      <c r="F3" s="483"/>
      <c r="G3" s="483"/>
      <c r="H3" s="483"/>
      <c r="I3" s="483"/>
      <c r="J3" s="484"/>
    </row>
    <row r="4" spans="1:10" ht="20.25">
      <c r="A4" s="186"/>
      <c r="B4" s="187"/>
      <c r="C4" s="187"/>
      <c r="D4" s="187"/>
      <c r="E4" s="187"/>
      <c r="F4" s="187"/>
      <c r="G4" s="187"/>
      <c r="H4" s="187"/>
      <c r="I4" s="187"/>
      <c r="J4" s="188"/>
    </row>
    <row r="5" spans="1:10" ht="20.25">
      <c r="A5" s="186"/>
      <c r="B5" s="189"/>
      <c r="C5" s="187"/>
      <c r="D5" s="187"/>
      <c r="E5" s="187"/>
      <c r="F5" s="187"/>
      <c r="G5" s="187"/>
      <c r="H5" s="187"/>
      <c r="I5" s="187"/>
      <c r="J5" s="188"/>
    </row>
    <row r="6" spans="1:10" ht="20.25">
      <c r="A6" s="186"/>
      <c r="B6" s="190"/>
      <c r="C6" s="187"/>
      <c r="D6" s="191"/>
      <c r="E6" s="191"/>
      <c r="F6" s="192"/>
      <c r="G6" s="191"/>
      <c r="H6" s="192"/>
      <c r="I6" s="191"/>
      <c r="J6" s="193"/>
    </row>
    <row r="7" spans="1:10" ht="20.25">
      <c r="A7" s="186"/>
      <c r="B7" s="190"/>
      <c r="C7" s="187" t="s">
        <v>111</v>
      </c>
      <c r="D7" s="194">
        <v>2014</v>
      </c>
      <c r="E7" s="191"/>
      <c r="F7" s="194">
        <v>2013</v>
      </c>
      <c r="G7" s="195"/>
      <c r="H7" s="196" t="s">
        <v>81</v>
      </c>
      <c r="I7" s="195"/>
      <c r="J7" s="197" t="s">
        <v>82</v>
      </c>
    </row>
    <row r="8" spans="1:10" ht="20.25">
      <c r="A8" s="186"/>
      <c r="B8" s="190"/>
      <c r="C8" s="187"/>
      <c r="D8" s="194"/>
      <c r="E8" s="191"/>
      <c r="F8" s="194"/>
      <c r="G8" s="195"/>
      <c r="H8" s="196"/>
      <c r="I8" s="195"/>
      <c r="J8" s="197"/>
    </row>
    <row r="9" spans="1:10" ht="20.25">
      <c r="A9" s="186"/>
      <c r="B9" s="198" t="s">
        <v>0</v>
      </c>
      <c r="C9" s="187"/>
      <c r="D9" s="196"/>
      <c r="E9" s="191"/>
      <c r="F9" s="192"/>
      <c r="G9" s="191"/>
      <c r="H9" s="192"/>
      <c r="I9" s="191"/>
      <c r="J9" s="193"/>
    </row>
    <row r="10" spans="1:10" ht="20.25">
      <c r="A10" s="186"/>
      <c r="B10" s="198" t="s">
        <v>1</v>
      </c>
      <c r="C10" s="187"/>
      <c r="D10" s="196"/>
      <c r="E10" s="191"/>
      <c r="F10" s="192"/>
      <c r="G10" s="191"/>
      <c r="H10" s="192"/>
      <c r="I10" s="191"/>
      <c r="J10" s="193"/>
    </row>
    <row r="11" spans="1:13" ht="20.25">
      <c r="A11" s="186"/>
      <c r="B11" s="190" t="s">
        <v>77</v>
      </c>
      <c r="C11" s="187">
        <v>2</v>
      </c>
      <c r="D11" s="192">
        <f>355199762.21-D12</f>
        <v>354099762.21</v>
      </c>
      <c r="E11" s="191"/>
      <c r="F11" s="192">
        <f>+'[4]BALANCES 2013-2014'!D4+'[4]BALANCES 2013-2014'!D5+'[4]BALANCES 2013-2014'!D6</f>
        <v>354061830</v>
      </c>
      <c r="G11" s="191"/>
      <c r="H11" s="192">
        <f>+D11-F11</f>
        <v>37932.20999997854</v>
      </c>
      <c r="I11" s="191"/>
      <c r="J11" s="199">
        <f>+H11/F11</f>
        <v>0.00010713442338582089</v>
      </c>
      <c r="M11" s="200"/>
    </row>
    <row r="12" spans="1:13" ht="20.25">
      <c r="A12" s="186"/>
      <c r="B12" s="201" t="s">
        <v>365</v>
      </c>
      <c r="C12" s="187">
        <v>3</v>
      </c>
      <c r="D12" s="192">
        <v>1100000</v>
      </c>
      <c r="E12" s="191"/>
      <c r="F12" s="192">
        <v>0</v>
      </c>
      <c r="G12" s="191"/>
      <c r="H12" s="192">
        <f>+D12-F12</f>
        <v>1100000</v>
      </c>
      <c r="I12" s="191"/>
      <c r="J12" s="199">
        <v>1</v>
      </c>
      <c r="M12" s="200"/>
    </row>
    <row r="13" spans="1:10" ht="20.25">
      <c r="A13" s="186"/>
      <c r="B13" s="190" t="s">
        <v>78</v>
      </c>
      <c r="C13" s="187">
        <v>4</v>
      </c>
      <c r="D13" s="192">
        <v>1007178214.09</v>
      </c>
      <c r="E13" s="191"/>
      <c r="F13" s="192">
        <f>+'[4]BALANCES 2013-2014'!D8+'[4]BALANCES 2013-2014'!D9</f>
        <v>1170381331.14</v>
      </c>
      <c r="G13" s="191"/>
      <c r="H13" s="192">
        <f>+D13-F13</f>
        <v>-163203117.05000007</v>
      </c>
      <c r="I13" s="191"/>
      <c r="J13" s="199">
        <f>+H13/F13</f>
        <v>-0.13944439535021758</v>
      </c>
    </row>
    <row r="14" spans="1:10" ht="20.25">
      <c r="A14" s="186"/>
      <c r="B14" s="190" t="s">
        <v>79</v>
      </c>
      <c r="C14" s="187">
        <v>5</v>
      </c>
      <c r="D14" s="192">
        <v>133128354</v>
      </c>
      <c r="E14" s="191"/>
      <c r="F14" s="192">
        <f>SUM('[4]BALANCES 2013-2014'!D10:D12)</f>
        <v>103953922</v>
      </c>
      <c r="G14" s="191"/>
      <c r="H14" s="192">
        <f>+D14-F14</f>
        <v>29174432</v>
      </c>
      <c r="I14" s="191"/>
      <c r="J14" s="199">
        <f>+H14/F14</f>
        <v>0.2806477277499929</v>
      </c>
    </row>
    <row r="15" spans="1:10" ht="20.25">
      <c r="A15" s="186"/>
      <c r="B15" s="190" t="s">
        <v>83</v>
      </c>
      <c r="C15" s="187">
        <v>6</v>
      </c>
      <c r="D15" s="202">
        <v>119825906.09</v>
      </c>
      <c r="E15" s="191"/>
      <c r="F15" s="202">
        <f>SUM('[4]BALANCES 2013-2014'!D13:D23)</f>
        <v>265936393.73999998</v>
      </c>
      <c r="G15" s="191"/>
      <c r="H15" s="202">
        <f>+D15-F15</f>
        <v>-146110487.64999998</v>
      </c>
      <c r="I15" s="191"/>
      <c r="J15" s="203">
        <f>+H15/F15</f>
        <v>-0.5494189253120764</v>
      </c>
    </row>
    <row r="16" spans="1:10" ht="20.25">
      <c r="A16" s="186"/>
      <c r="B16" s="190"/>
      <c r="C16" s="187"/>
      <c r="D16" s="192"/>
      <c r="E16" s="191"/>
      <c r="F16" s="192"/>
      <c r="G16" s="191"/>
      <c r="H16" s="192"/>
      <c r="I16" s="191"/>
      <c r="J16" s="193"/>
    </row>
    <row r="17" spans="1:10" ht="20.25">
      <c r="A17" s="186"/>
      <c r="B17" s="198" t="s">
        <v>80</v>
      </c>
      <c r="C17" s="187"/>
      <c r="D17" s="196">
        <f>SUM(D11:D16)</f>
        <v>1615332236.3899999</v>
      </c>
      <c r="E17" s="191"/>
      <c r="F17" s="196">
        <f>SUM(F11:F16)</f>
        <v>1894333476.88</v>
      </c>
      <c r="G17" s="196"/>
      <c r="H17" s="196">
        <f>SUM(H11:H16)</f>
        <v>-279001240.49000007</v>
      </c>
      <c r="I17" s="196"/>
      <c r="J17" s="204">
        <f>SUM(J11:J16)</f>
        <v>0.5918915415110849</v>
      </c>
    </row>
    <row r="18" spans="1:10" ht="20.25">
      <c r="A18" s="186"/>
      <c r="B18" s="190"/>
      <c r="C18" s="187"/>
      <c r="D18" s="192"/>
      <c r="E18" s="191"/>
      <c r="F18" s="192"/>
      <c r="G18" s="191"/>
      <c r="H18" s="192"/>
      <c r="I18" s="191"/>
      <c r="J18" s="193"/>
    </row>
    <row r="19" spans="1:10" ht="20.25">
      <c r="A19" s="186"/>
      <c r="B19" s="198" t="s">
        <v>84</v>
      </c>
      <c r="C19" s="187"/>
      <c r="D19" s="196"/>
      <c r="E19" s="191"/>
      <c r="F19" s="192"/>
      <c r="G19" s="191"/>
      <c r="H19" s="192"/>
      <c r="I19" s="191"/>
      <c r="J19" s="193"/>
    </row>
    <row r="20" spans="1:10" ht="20.25">
      <c r="A20" s="186"/>
      <c r="B20" s="190"/>
      <c r="C20" s="187"/>
      <c r="D20" s="192"/>
      <c r="E20" s="191"/>
      <c r="F20" s="192"/>
      <c r="G20" s="191"/>
      <c r="H20" s="192"/>
      <c r="I20" s="191"/>
      <c r="J20" s="193"/>
    </row>
    <row r="21" spans="1:10" ht="20.25">
      <c r="A21" s="186"/>
      <c r="B21" s="190" t="s">
        <v>85</v>
      </c>
      <c r="C21" s="187">
        <v>7</v>
      </c>
      <c r="D21" s="192">
        <v>228577592.0899999</v>
      </c>
      <c r="E21" s="191"/>
      <c r="F21" s="192">
        <f>SUM('[4]BALANCES 2013-2014'!D30:D37)</f>
        <v>262689393.0899999</v>
      </c>
      <c r="G21" s="191"/>
      <c r="H21" s="192">
        <f>+D21-F21</f>
        <v>-34111801</v>
      </c>
      <c r="I21" s="191"/>
      <c r="J21" s="199">
        <f>+H21/F21</f>
        <v>-0.12985602729803775</v>
      </c>
    </row>
    <row r="22" spans="1:10" ht="20.25">
      <c r="A22" s="186"/>
      <c r="B22" s="190" t="s">
        <v>86</v>
      </c>
      <c r="C22" s="187">
        <v>8</v>
      </c>
      <c r="D22" s="192">
        <v>91656371.89</v>
      </c>
      <c r="E22" s="191"/>
      <c r="F22" s="192">
        <f>+'[4]BALANCES 2013-2014'!D40+'[4]BALANCES 2013-2014'!D41+1.26</f>
        <v>76615628.26</v>
      </c>
      <c r="G22" s="191"/>
      <c r="H22" s="192">
        <f aca="true" t="shared" si="0" ref="H22:H27">+D22-F22</f>
        <v>15040743.629999995</v>
      </c>
      <c r="I22" s="191"/>
      <c r="J22" s="199">
        <f aca="true" t="shared" si="1" ref="J22:J27">+H22/F22</f>
        <v>0.19631430259839774</v>
      </c>
    </row>
    <row r="23" spans="1:10" ht="20.25">
      <c r="A23" s="186"/>
      <c r="B23" s="190" t="s">
        <v>33</v>
      </c>
      <c r="C23" s="187">
        <v>9</v>
      </c>
      <c r="D23" s="192">
        <v>0</v>
      </c>
      <c r="E23" s="191"/>
      <c r="F23" s="192">
        <f>+'[4]BALANCES 2013-2014'!D42</f>
        <v>3472655</v>
      </c>
      <c r="G23" s="191"/>
      <c r="H23" s="192">
        <f t="shared" si="0"/>
        <v>-3472655</v>
      </c>
      <c r="I23" s="191"/>
      <c r="J23" s="199">
        <f t="shared" si="1"/>
        <v>-1</v>
      </c>
    </row>
    <row r="24" spans="1:10" ht="20.25">
      <c r="A24" s="186"/>
      <c r="B24" s="190" t="s">
        <v>88</v>
      </c>
      <c r="C24" s="187"/>
      <c r="D24" s="192">
        <v>462471080</v>
      </c>
      <c r="E24" s="191"/>
      <c r="F24" s="192">
        <f>+'[4]BALANCES 2013-2014'!D43</f>
        <v>505423276</v>
      </c>
      <c r="G24" s="191"/>
      <c r="H24" s="192">
        <f t="shared" si="0"/>
        <v>-42952196</v>
      </c>
      <c r="I24" s="191"/>
      <c r="J24" s="199">
        <f t="shared" si="1"/>
        <v>-0.08498262355451948</v>
      </c>
    </row>
    <row r="25" spans="1:10" ht="20.25">
      <c r="A25" s="186"/>
      <c r="B25" s="190" t="s">
        <v>89</v>
      </c>
      <c r="C25" s="187"/>
      <c r="D25" s="192">
        <v>-462471080.22</v>
      </c>
      <c r="E25" s="191"/>
      <c r="F25" s="192">
        <f>+'[4]BALANCES 2013-2014'!D46</f>
        <v>-262203170</v>
      </c>
      <c r="G25" s="191"/>
      <c r="H25" s="192">
        <f t="shared" si="0"/>
        <v>-200267910.22000003</v>
      </c>
      <c r="I25" s="191"/>
      <c r="J25" s="199">
        <f t="shared" si="1"/>
        <v>0.7637890503764696</v>
      </c>
    </row>
    <row r="26" spans="1:10" ht="20.25">
      <c r="A26" s="186"/>
      <c r="B26" s="190" t="s">
        <v>87</v>
      </c>
      <c r="C26" s="187"/>
      <c r="D26" s="192">
        <v>121828197.02</v>
      </c>
      <c r="E26" s="191"/>
      <c r="F26" s="192">
        <f>+'[4]BALANCES 2013-2014'!D44</f>
        <v>121828197.02</v>
      </c>
      <c r="G26" s="191"/>
      <c r="H26" s="192">
        <f t="shared" si="0"/>
        <v>0</v>
      </c>
      <c r="I26" s="191"/>
      <c r="J26" s="199">
        <f t="shared" si="1"/>
        <v>0</v>
      </c>
    </row>
    <row r="27" spans="1:10" ht="20.25">
      <c r="A27" s="186"/>
      <c r="B27" s="190" t="s">
        <v>39</v>
      </c>
      <c r="C27" s="187"/>
      <c r="D27" s="202">
        <v>448478286.02</v>
      </c>
      <c r="E27" s="191"/>
      <c r="F27" s="202">
        <f>+'[4]BALANCES 2013-2014'!D45</f>
        <v>448478286.02</v>
      </c>
      <c r="G27" s="191"/>
      <c r="H27" s="202">
        <f t="shared" si="0"/>
        <v>0</v>
      </c>
      <c r="I27" s="191"/>
      <c r="J27" s="203">
        <f t="shared" si="1"/>
        <v>0</v>
      </c>
    </row>
    <row r="28" spans="1:10" ht="20.25">
      <c r="A28" s="186"/>
      <c r="B28" s="190"/>
      <c r="C28" s="187"/>
      <c r="D28" s="192"/>
      <c r="E28" s="191"/>
      <c r="F28" s="192"/>
      <c r="G28" s="191"/>
      <c r="H28" s="192"/>
      <c r="I28" s="191"/>
      <c r="J28" s="193"/>
    </row>
    <row r="29" spans="1:10" ht="20.25">
      <c r="A29" s="186"/>
      <c r="B29" s="198" t="s">
        <v>90</v>
      </c>
      <c r="C29" s="187"/>
      <c r="D29" s="196">
        <f>SUM(D21:D28)</f>
        <v>890540446.7999998</v>
      </c>
      <c r="E29" s="191"/>
      <c r="F29" s="196">
        <f>SUM(F21:F28)</f>
        <v>1156304265.3899999</v>
      </c>
      <c r="G29" s="196"/>
      <c r="H29" s="196">
        <f>SUM(H21:H28)</f>
        <v>-265763818.59000003</v>
      </c>
      <c r="I29" s="196"/>
      <c r="J29" s="204">
        <f>SUM(J21:J28)</f>
        <v>-0.2547352978776899</v>
      </c>
    </row>
    <row r="30" spans="1:10" ht="20.25">
      <c r="A30" s="186"/>
      <c r="B30" s="190"/>
      <c r="C30" s="187"/>
      <c r="D30" s="192"/>
      <c r="E30" s="191"/>
      <c r="F30" s="192"/>
      <c r="G30" s="191"/>
      <c r="H30" s="192"/>
      <c r="I30" s="191"/>
      <c r="J30" s="193"/>
    </row>
    <row r="31" spans="1:10" ht="20.25">
      <c r="A31" s="186"/>
      <c r="B31" s="198" t="s">
        <v>41</v>
      </c>
      <c r="C31" s="187"/>
      <c r="D31" s="196">
        <v>2505872683.1899996</v>
      </c>
      <c r="E31" s="191"/>
      <c r="F31" s="196">
        <f>+F17+F29</f>
        <v>3050637742.27</v>
      </c>
      <c r="G31" s="196"/>
      <c r="H31" s="196">
        <f>+H17+H29</f>
        <v>-544765059.0800002</v>
      </c>
      <c r="I31" s="196"/>
      <c r="J31" s="204">
        <f>+J17+J29</f>
        <v>0.337156243633395</v>
      </c>
    </row>
    <row r="32" spans="1:10" ht="20.25">
      <c r="A32" s="186"/>
      <c r="B32" s="198"/>
      <c r="C32" s="187"/>
      <c r="D32" s="196"/>
      <c r="E32" s="191"/>
      <c r="F32" s="196"/>
      <c r="G32" s="196"/>
      <c r="H32" s="196"/>
      <c r="I32" s="196"/>
      <c r="J32" s="205"/>
    </row>
    <row r="33" spans="1:10" ht="20.25">
      <c r="A33" s="186"/>
      <c r="B33" s="198" t="s">
        <v>102</v>
      </c>
      <c r="C33" s="187"/>
      <c r="D33" s="196">
        <v>546023261.68</v>
      </c>
      <c r="E33" s="191"/>
      <c r="F33" s="196">
        <v>840731773.68</v>
      </c>
      <c r="G33" s="196"/>
      <c r="H33" s="196">
        <f>+H19+H31</f>
        <v>-544765059.0800002</v>
      </c>
      <c r="I33" s="196"/>
      <c r="J33" s="204">
        <f>+J19+J31</f>
        <v>0.337156243633395</v>
      </c>
    </row>
    <row r="34" spans="1:10" ht="20.25">
      <c r="A34" s="186"/>
      <c r="B34" s="198"/>
      <c r="C34" s="187"/>
      <c r="D34" s="196"/>
      <c r="E34" s="191"/>
      <c r="F34" s="196"/>
      <c r="G34" s="196"/>
      <c r="H34" s="196"/>
      <c r="I34" s="196"/>
      <c r="J34" s="205"/>
    </row>
    <row r="35" spans="1:10" ht="20.25">
      <c r="A35" s="186"/>
      <c r="B35" s="198" t="s">
        <v>42</v>
      </c>
      <c r="C35" s="187"/>
      <c r="D35" s="196"/>
      <c r="E35" s="191"/>
      <c r="F35" s="192"/>
      <c r="G35" s="191"/>
      <c r="H35" s="192"/>
      <c r="I35" s="191"/>
      <c r="J35" s="193"/>
    </row>
    <row r="36" spans="1:10" ht="20.25">
      <c r="A36" s="186"/>
      <c r="B36" s="190"/>
      <c r="C36" s="187"/>
      <c r="D36" s="192"/>
      <c r="E36" s="191"/>
      <c r="F36" s="192"/>
      <c r="G36" s="191"/>
      <c r="H36" s="192"/>
      <c r="I36" s="191"/>
      <c r="J36" s="193"/>
    </row>
    <row r="37" spans="1:10" ht="20.25">
      <c r="A37" s="186"/>
      <c r="B37" s="190" t="s">
        <v>94</v>
      </c>
      <c r="C37" s="187">
        <v>10</v>
      </c>
      <c r="D37" s="192">
        <v>352896616</v>
      </c>
      <c r="E37" s="191"/>
      <c r="F37" s="192">
        <f>+'[4]BALANCES 2013-2014'!D53</f>
        <v>290423450</v>
      </c>
      <c r="G37" s="191"/>
      <c r="H37" s="192">
        <f aca="true" t="shared" si="2" ref="H37:H43">+D37-F37</f>
        <v>62473166</v>
      </c>
      <c r="I37" s="191"/>
      <c r="J37" s="199">
        <f aca="true" t="shared" si="3" ref="J37:J43">+H37/F37</f>
        <v>0.2151106117636162</v>
      </c>
    </row>
    <row r="38" spans="1:10" ht="20.25">
      <c r="A38" s="186"/>
      <c r="B38" s="190" t="s">
        <v>95</v>
      </c>
      <c r="C38" s="187">
        <v>11</v>
      </c>
      <c r="D38" s="192">
        <f>977254909.21+'[4]BALANCES 2013-2014'!F57</f>
        <v>985796796.21</v>
      </c>
      <c r="E38" s="191"/>
      <c r="F38" s="192">
        <f>+'[4]BALANCES 2013-2014'!D54+'[4]BALANCES 2013-2014'!D55</f>
        <v>1179405038</v>
      </c>
      <c r="G38" s="192"/>
      <c r="H38" s="192">
        <f t="shared" si="2"/>
        <v>-193608241.78999996</v>
      </c>
      <c r="I38" s="191"/>
      <c r="J38" s="199">
        <f t="shared" si="3"/>
        <v>-0.16415755024950127</v>
      </c>
    </row>
    <row r="39" spans="1:10" ht="20.25">
      <c r="A39" s="186"/>
      <c r="B39" s="190" t="s">
        <v>96</v>
      </c>
      <c r="C39" s="187">
        <v>12</v>
      </c>
      <c r="D39" s="192">
        <v>13445534.23</v>
      </c>
      <c r="E39" s="191"/>
      <c r="F39" s="192">
        <f>+'[4]BALANCES 2013-2014'!D56+'[4]BALANCES 2013-2014'!D57+'[4]BALANCES 2013-2014'!D60</f>
        <v>8210659</v>
      </c>
      <c r="G39" s="191"/>
      <c r="H39" s="192">
        <f t="shared" si="2"/>
        <v>5234875.23</v>
      </c>
      <c r="I39" s="191"/>
      <c r="J39" s="199">
        <f t="shared" si="3"/>
        <v>0.6375706541947486</v>
      </c>
    </row>
    <row r="40" spans="1:10" ht="40.5">
      <c r="A40" s="186"/>
      <c r="B40" s="190" t="s">
        <v>97</v>
      </c>
      <c r="C40" s="187">
        <v>13</v>
      </c>
      <c r="D40" s="192">
        <v>81677794.81</v>
      </c>
      <c r="E40" s="191"/>
      <c r="F40" s="192">
        <f>+'[4]BALANCES 2013-2014'!D62+'[4]BALANCES 2013-2014'!D64+'[4]BALANCES 2013-2014'!D63</f>
        <v>114667870.81</v>
      </c>
      <c r="G40" s="191"/>
      <c r="H40" s="192">
        <f t="shared" si="2"/>
        <v>-32990076</v>
      </c>
      <c r="I40" s="191"/>
      <c r="J40" s="199">
        <f t="shared" si="3"/>
        <v>-0.28770112994129987</v>
      </c>
    </row>
    <row r="41" spans="1:10" ht="20.25">
      <c r="A41" s="186"/>
      <c r="B41" s="190" t="s">
        <v>99</v>
      </c>
      <c r="C41" s="187">
        <v>14</v>
      </c>
      <c r="D41" s="192">
        <v>106280534</v>
      </c>
      <c r="E41" s="191"/>
      <c r="F41" s="192">
        <f>+'[4]BALANCES 2013-2014'!D71+'[4]BALANCES 2013-2014'!D72</f>
        <v>20430323</v>
      </c>
      <c r="G41" s="191"/>
      <c r="H41" s="192">
        <f t="shared" si="2"/>
        <v>85850211</v>
      </c>
      <c r="I41" s="191"/>
      <c r="J41" s="199">
        <f t="shared" si="3"/>
        <v>4.202097587982334</v>
      </c>
    </row>
    <row r="42" spans="1:10" ht="20.25">
      <c r="A42" s="186"/>
      <c r="B42" s="190" t="s">
        <v>100</v>
      </c>
      <c r="C42" s="187"/>
      <c r="D42" s="192">
        <v>0</v>
      </c>
      <c r="E42" s="191"/>
      <c r="F42" s="192">
        <f>+'[4]BALANCES 2013-2014'!D68+'[4]BALANCES 2013-2014'!D69</f>
        <v>38965593</v>
      </c>
      <c r="G42" s="192"/>
      <c r="H42" s="192">
        <f t="shared" si="2"/>
        <v>-38965593</v>
      </c>
      <c r="I42" s="191"/>
      <c r="J42" s="199">
        <f t="shared" si="3"/>
        <v>-1</v>
      </c>
    </row>
    <row r="43" spans="1:10" ht="20.25">
      <c r="A43" s="186"/>
      <c r="B43" s="190" t="s">
        <v>98</v>
      </c>
      <c r="C43" s="187">
        <v>11</v>
      </c>
      <c r="D43" s="202">
        <v>8704878</v>
      </c>
      <c r="E43" s="191"/>
      <c r="F43" s="202">
        <f>+'[4]BALANCES 2013-2014'!D58+'[4]BALANCES 2013-2014'!D59+'[4]BALANCES 2013-2014'!D61</f>
        <v>15741410</v>
      </c>
      <c r="G43" s="191"/>
      <c r="H43" s="202">
        <f t="shared" si="2"/>
        <v>-7036532</v>
      </c>
      <c r="I43" s="191"/>
      <c r="J43" s="203">
        <f t="shared" si="3"/>
        <v>-0.4470077331065006</v>
      </c>
    </row>
    <row r="44" spans="1:13" ht="20.25">
      <c r="A44" s="186"/>
      <c r="B44" s="190"/>
      <c r="C44" s="187"/>
      <c r="D44" s="192"/>
      <c r="E44" s="191"/>
      <c r="F44" s="192"/>
      <c r="G44" s="191"/>
      <c r="H44" s="192"/>
      <c r="I44" s="191"/>
      <c r="J44" s="199"/>
      <c r="K44" s="200">
        <f>+H17-H45</f>
        <v>-159959049.93000013</v>
      </c>
      <c r="M44" s="200">
        <f>+D17-D45</f>
        <v>66530083.13999987</v>
      </c>
    </row>
    <row r="45" spans="1:10" ht="20.25">
      <c r="A45" s="186"/>
      <c r="B45" s="198" t="s">
        <v>101</v>
      </c>
      <c r="C45" s="187"/>
      <c r="D45" s="196">
        <v>1548802153.25</v>
      </c>
      <c r="E45" s="191"/>
      <c r="F45" s="196">
        <f>SUM(F37:F44)</f>
        <v>1667844343.81</v>
      </c>
      <c r="G45" s="195"/>
      <c r="H45" s="196">
        <f>SUM(H37:H44)</f>
        <v>-119042190.55999994</v>
      </c>
      <c r="I45" s="195"/>
      <c r="J45" s="204">
        <f>+H45/F45</f>
        <v>-0.07137488039684906</v>
      </c>
    </row>
    <row r="46" spans="1:10" ht="20.25">
      <c r="A46" s="186"/>
      <c r="B46" s="190"/>
      <c r="C46" s="187"/>
      <c r="D46" s="192"/>
      <c r="E46" s="191"/>
      <c r="F46" s="192"/>
      <c r="G46" s="191"/>
      <c r="H46" s="192"/>
      <c r="I46" s="191"/>
      <c r="J46" s="193"/>
    </row>
    <row r="47" spans="1:10" ht="20.25">
      <c r="A47" s="186"/>
      <c r="B47" s="198" t="s">
        <v>64</v>
      </c>
      <c r="C47" s="187"/>
      <c r="D47" s="196"/>
      <c r="E47" s="191"/>
      <c r="F47" s="192"/>
      <c r="G47" s="191"/>
      <c r="H47" s="192"/>
      <c r="I47" s="191"/>
      <c r="J47" s="193"/>
    </row>
    <row r="48" spans="1:10" ht="20.25">
      <c r="A48" s="186"/>
      <c r="B48" s="190"/>
      <c r="C48" s="187"/>
      <c r="D48" s="192"/>
      <c r="E48" s="191"/>
      <c r="F48" s="192"/>
      <c r="G48" s="191"/>
      <c r="H48" s="192"/>
      <c r="I48" s="191"/>
      <c r="J48" s="193"/>
    </row>
    <row r="49" spans="1:10" ht="20.25">
      <c r="A49" s="186"/>
      <c r="B49" s="190" t="s">
        <v>103</v>
      </c>
      <c r="C49" s="187">
        <v>15</v>
      </c>
      <c r="D49" s="192">
        <v>381290478.32</v>
      </c>
      <c r="E49" s="191"/>
      <c r="F49" s="192">
        <f>+'[4]BALANCES 2013-2014'!D77</f>
        <v>352287249.32</v>
      </c>
      <c r="G49" s="191"/>
      <c r="H49" s="192">
        <f aca="true" t="shared" si="4" ref="H49:H56">+D49-F49</f>
        <v>29003229</v>
      </c>
      <c r="I49" s="191"/>
      <c r="J49" s="199">
        <f aca="true" t="shared" si="5" ref="J49:J56">+H49/F49</f>
        <v>0.08232835294488597</v>
      </c>
    </row>
    <row r="50" spans="1:10" ht="20.25">
      <c r="A50" s="186"/>
      <c r="B50" s="190" t="s">
        <v>104</v>
      </c>
      <c r="C50" s="187">
        <v>16</v>
      </c>
      <c r="D50" s="192">
        <v>151864711</v>
      </c>
      <c r="E50" s="191"/>
      <c r="F50" s="192">
        <f>+'[4]BALANCES 2013-2014'!D78+'[4]BALANCES 2013-2014'!D79</f>
        <v>151864711</v>
      </c>
      <c r="G50" s="191"/>
      <c r="H50" s="192">
        <f t="shared" si="4"/>
        <v>0</v>
      </c>
      <c r="I50" s="191"/>
      <c r="J50" s="199">
        <f t="shared" si="5"/>
        <v>0</v>
      </c>
    </row>
    <row r="51" spans="1:10" ht="28.5" customHeight="1">
      <c r="A51" s="186"/>
      <c r="B51" s="190" t="s">
        <v>105</v>
      </c>
      <c r="C51" s="187">
        <v>17</v>
      </c>
      <c r="D51" s="192">
        <v>604647586.37</v>
      </c>
      <c r="E51" s="191"/>
      <c r="F51" s="192">
        <f>+'[4]BALANCES 2013-2014'!D80+'[4]BALANCES 2013-2014'!D81+'[4]BALANCES 2013-2014'!D82+'[4]BALANCES 2013-2014'!D83</f>
        <v>604647586.37</v>
      </c>
      <c r="G51" s="191"/>
      <c r="H51" s="192">
        <f t="shared" si="4"/>
        <v>0</v>
      </c>
      <c r="I51" s="191"/>
      <c r="J51" s="199">
        <f t="shared" si="5"/>
        <v>0</v>
      </c>
    </row>
    <row r="52" spans="1:10" ht="20.25">
      <c r="A52" s="186"/>
      <c r="B52" s="190" t="s">
        <v>106</v>
      </c>
      <c r="C52" s="187"/>
      <c r="D52" s="192"/>
      <c r="E52" s="191"/>
      <c r="F52" s="192"/>
      <c r="G52" s="191"/>
      <c r="H52" s="192">
        <f t="shared" si="4"/>
        <v>0</v>
      </c>
      <c r="I52" s="191"/>
      <c r="J52" s="199">
        <v>0</v>
      </c>
    </row>
    <row r="53" spans="1:10" ht="20.25">
      <c r="A53" s="186"/>
      <c r="B53" s="190" t="s">
        <v>72</v>
      </c>
      <c r="C53" s="187"/>
      <c r="D53" s="192">
        <v>4285400</v>
      </c>
      <c r="E53" s="191"/>
      <c r="F53" s="192">
        <f>+'[4]BALANCES 2013-2014'!D84</f>
        <v>4285400</v>
      </c>
      <c r="G53" s="191"/>
      <c r="H53" s="192">
        <f t="shared" si="4"/>
        <v>0</v>
      </c>
      <c r="I53" s="191"/>
      <c r="J53" s="199">
        <f t="shared" si="5"/>
        <v>0</v>
      </c>
    </row>
    <row r="54" spans="1:10" ht="20.25">
      <c r="A54" s="186"/>
      <c r="B54" s="190" t="s">
        <v>39</v>
      </c>
      <c r="C54" s="187"/>
      <c r="D54" s="192">
        <v>448478286.02</v>
      </c>
      <c r="E54" s="191"/>
      <c r="F54" s="192">
        <f>+'[4]BALANCES 2013-2014'!D85</f>
        <v>448478286.02</v>
      </c>
      <c r="G54" s="191"/>
      <c r="H54" s="192">
        <f t="shared" si="4"/>
        <v>0</v>
      </c>
      <c r="I54" s="191"/>
      <c r="J54" s="199">
        <f t="shared" si="5"/>
        <v>0</v>
      </c>
    </row>
    <row r="55" spans="1:10" ht="20.25">
      <c r="A55" s="186"/>
      <c r="B55" s="190" t="s">
        <v>107</v>
      </c>
      <c r="C55" s="187">
        <v>18</v>
      </c>
      <c r="D55" s="192">
        <v>-454726097.52</v>
      </c>
      <c r="E55" s="191"/>
      <c r="F55" s="192">
        <f>+'[4]BALANCES 2013-2014'!D87</f>
        <v>69095537.09</v>
      </c>
      <c r="G55" s="191"/>
      <c r="H55" s="192">
        <f t="shared" si="4"/>
        <v>-523821634.61</v>
      </c>
      <c r="I55" s="191"/>
      <c r="J55" s="199">
        <f t="shared" si="5"/>
        <v>-7.581121106674359</v>
      </c>
    </row>
    <row r="56" spans="1:10" ht="40.5">
      <c r="A56" s="186"/>
      <c r="B56" s="190" t="s">
        <v>108</v>
      </c>
      <c r="C56" s="187"/>
      <c r="D56" s="202">
        <v>-178769834.25</v>
      </c>
      <c r="E56" s="191"/>
      <c r="F56" s="202">
        <f>+'[4]BALANCES 2013-2014'!D86</f>
        <v>-247865371.34</v>
      </c>
      <c r="G56" s="191"/>
      <c r="H56" s="202">
        <f t="shared" si="4"/>
        <v>69095537.09</v>
      </c>
      <c r="I56" s="191"/>
      <c r="J56" s="203">
        <f t="shared" si="5"/>
        <v>-0.27876236489372613</v>
      </c>
    </row>
    <row r="57" spans="1:10" ht="20.25">
      <c r="A57" s="186"/>
      <c r="B57" s="190"/>
      <c r="C57" s="187"/>
      <c r="D57" s="192"/>
      <c r="E57" s="191"/>
      <c r="F57" s="192"/>
      <c r="G57" s="191"/>
      <c r="H57" s="192"/>
      <c r="I57" s="191"/>
      <c r="J57" s="193"/>
    </row>
    <row r="58" spans="1:11" s="209" customFormat="1" ht="20.25">
      <c r="A58" s="206"/>
      <c r="B58" s="198" t="s">
        <v>75</v>
      </c>
      <c r="C58" s="187"/>
      <c r="D58" s="196">
        <f>SUM(D49:D57)</f>
        <v>957070529.94</v>
      </c>
      <c r="E58" s="195"/>
      <c r="F58" s="196">
        <f>SUM(F49:F57)</f>
        <v>1382793398.46</v>
      </c>
      <c r="G58" s="196"/>
      <c r="H58" s="196">
        <f>SUM(H49:H57)</f>
        <v>-425722868.52</v>
      </c>
      <c r="I58" s="196"/>
      <c r="J58" s="207">
        <f>SUM(J49:J57)</f>
        <v>-7.777555118623199</v>
      </c>
      <c r="K58" s="208">
        <f>+H31-H58</f>
        <v>-119042190.56000018</v>
      </c>
    </row>
    <row r="59" spans="1:10" ht="20.25">
      <c r="A59" s="186"/>
      <c r="B59" s="190"/>
      <c r="C59" s="187"/>
      <c r="D59" s="192"/>
      <c r="E59" s="191"/>
      <c r="F59" s="192"/>
      <c r="G59" s="191"/>
      <c r="H59" s="192"/>
      <c r="I59" s="191"/>
      <c r="J59" s="193"/>
    </row>
    <row r="60" spans="1:10" s="209" customFormat="1" ht="20.25">
      <c r="A60" s="206"/>
      <c r="B60" s="198" t="s">
        <v>109</v>
      </c>
      <c r="C60" s="187"/>
      <c r="D60" s="196">
        <f>+D45+D58</f>
        <v>2505872683.19</v>
      </c>
      <c r="E60" s="195"/>
      <c r="F60" s="196">
        <f>+F45+F58</f>
        <v>3050637742.27</v>
      </c>
      <c r="G60" s="196"/>
      <c r="H60" s="196">
        <f>+H45+H58</f>
        <v>-544765059.0799999</v>
      </c>
      <c r="I60" s="196"/>
      <c r="J60" s="207">
        <f>+J45+J58</f>
        <v>-7.848929999020048</v>
      </c>
    </row>
    <row r="61" spans="1:10" ht="20.25">
      <c r="A61" s="186"/>
      <c r="B61" s="190"/>
      <c r="C61" s="187"/>
      <c r="D61" s="192"/>
      <c r="E61" s="191"/>
      <c r="F61" s="192"/>
      <c r="G61" s="192"/>
      <c r="H61" s="192"/>
      <c r="I61" s="191"/>
      <c r="J61" s="207"/>
    </row>
    <row r="62" spans="1:10" s="209" customFormat="1" ht="20.25">
      <c r="A62" s="206"/>
      <c r="B62" s="198" t="s">
        <v>110</v>
      </c>
      <c r="C62" s="187">
        <v>19</v>
      </c>
      <c r="D62" s="196">
        <v>546023261.68</v>
      </c>
      <c r="E62" s="195"/>
      <c r="F62" s="196">
        <f>+F33</f>
        <v>840731773.68</v>
      </c>
      <c r="G62" s="196"/>
      <c r="H62" s="196">
        <f>+H33</f>
        <v>-544765059.0800002</v>
      </c>
      <c r="I62" s="196"/>
      <c r="J62" s="207">
        <f>+J33</f>
        <v>0.337156243633395</v>
      </c>
    </row>
    <row r="63" spans="1:10" s="209" customFormat="1" ht="20.25">
      <c r="A63" s="206"/>
      <c r="B63" s="198"/>
      <c r="C63" s="187"/>
      <c r="D63" s="196"/>
      <c r="E63" s="195"/>
      <c r="F63" s="196"/>
      <c r="G63" s="196"/>
      <c r="H63" s="196"/>
      <c r="I63" s="196"/>
      <c r="J63" s="207"/>
    </row>
    <row r="64" spans="1:10" s="209" customFormat="1" ht="20.25">
      <c r="A64" s="206"/>
      <c r="B64" s="198"/>
      <c r="C64" s="187"/>
      <c r="D64" s="196"/>
      <c r="E64" s="195"/>
      <c r="F64" s="196"/>
      <c r="G64" s="196"/>
      <c r="H64" s="196"/>
      <c r="I64" s="196"/>
      <c r="J64" s="207"/>
    </row>
    <row r="65" spans="1:10" ht="20.25">
      <c r="A65" s="186"/>
      <c r="B65" s="190"/>
      <c r="C65" s="187"/>
      <c r="D65" s="191"/>
      <c r="E65" s="191"/>
      <c r="F65" s="192"/>
      <c r="G65" s="191"/>
      <c r="H65" s="192"/>
      <c r="I65" s="191"/>
      <c r="J65" s="193"/>
    </row>
    <row r="66" spans="1:10" s="214" customFormat="1" ht="20.25">
      <c r="A66" s="210"/>
      <c r="B66" s="485" t="s">
        <v>122</v>
      </c>
      <c r="C66" s="485"/>
      <c r="D66" s="485"/>
      <c r="E66" s="211"/>
      <c r="F66" s="212"/>
      <c r="G66" s="211"/>
      <c r="H66" s="212"/>
      <c r="I66" s="211"/>
      <c r="J66" s="213"/>
    </row>
    <row r="67" spans="1:10" ht="20.25">
      <c r="A67" s="186"/>
      <c r="B67" s="215" t="str">
        <f>+G77</f>
        <v>"VER OPINION ADJUNTA"</v>
      </c>
      <c r="C67" s="187"/>
      <c r="D67" s="191"/>
      <c r="E67" s="191"/>
      <c r="F67" s="192"/>
      <c r="G67" s="191"/>
      <c r="H67" s="192"/>
      <c r="I67" s="191"/>
      <c r="J67" s="193"/>
    </row>
    <row r="68" spans="1:10" ht="20.25">
      <c r="A68" s="186"/>
      <c r="B68" s="215"/>
      <c r="C68" s="187"/>
      <c r="D68" s="191"/>
      <c r="E68" s="191"/>
      <c r="F68" s="192"/>
      <c r="G68" s="191"/>
      <c r="H68" s="192"/>
      <c r="I68" s="191"/>
      <c r="J68" s="193"/>
    </row>
    <row r="69" spans="1:10" ht="20.25">
      <c r="A69" s="186"/>
      <c r="B69" s="215"/>
      <c r="C69" s="187"/>
      <c r="D69" s="191"/>
      <c r="E69" s="191"/>
      <c r="F69" s="192"/>
      <c r="G69" s="191"/>
      <c r="H69" s="192"/>
      <c r="I69" s="191"/>
      <c r="J69" s="193"/>
    </row>
    <row r="70" spans="1:10" ht="20.25">
      <c r="A70" s="186"/>
      <c r="B70" s="215"/>
      <c r="C70" s="187"/>
      <c r="D70" s="191"/>
      <c r="E70" s="191"/>
      <c r="F70" s="192"/>
      <c r="G70" s="191"/>
      <c r="H70" s="192"/>
      <c r="I70" s="191"/>
      <c r="J70" s="193"/>
    </row>
    <row r="71" spans="1:10" ht="20.25">
      <c r="A71" s="186"/>
      <c r="B71" s="215"/>
      <c r="C71" s="187"/>
      <c r="D71" s="191"/>
      <c r="E71" s="191"/>
      <c r="F71" s="192"/>
      <c r="G71" s="191"/>
      <c r="H71" s="192"/>
      <c r="I71" s="191"/>
      <c r="J71" s="193"/>
    </row>
    <row r="72" spans="1:10" ht="20.25">
      <c r="A72" s="186"/>
      <c r="B72" s="190"/>
      <c r="C72" s="187"/>
      <c r="D72" s="191"/>
      <c r="E72" s="191"/>
      <c r="F72" s="192"/>
      <c r="G72" s="191"/>
      <c r="H72" s="192"/>
      <c r="I72" s="191"/>
      <c r="J72" s="193"/>
    </row>
    <row r="73" spans="1:10" ht="20.25">
      <c r="A73" s="186"/>
      <c r="B73" s="198" t="s">
        <v>112</v>
      </c>
      <c r="C73" s="187"/>
      <c r="D73" s="480" t="s">
        <v>112</v>
      </c>
      <c r="E73" s="480"/>
      <c r="F73" s="480"/>
      <c r="G73" s="216" t="s">
        <v>112</v>
      </c>
      <c r="H73" s="216"/>
      <c r="I73" s="216"/>
      <c r="J73" s="193"/>
    </row>
    <row r="74" spans="1:10" ht="20.25">
      <c r="A74" s="186"/>
      <c r="B74" s="198" t="s">
        <v>113</v>
      </c>
      <c r="C74" s="187"/>
      <c r="D74" s="480" t="s">
        <v>115</v>
      </c>
      <c r="E74" s="480"/>
      <c r="F74" s="480"/>
      <c r="G74" s="216" t="s">
        <v>118</v>
      </c>
      <c r="H74" s="216"/>
      <c r="I74" s="216"/>
      <c r="J74" s="193"/>
    </row>
    <row r="75" spans="1:10" ht="20.25">
      <c r="A75" s="186"/>
      <c r="B75" s="198" t="s">
        <v>114</v>
      </c>
      <c r="C75" s="187"/>
      <c r="D75" s="480" t="s">
        <v>116</v>
      </c>
      <c r="E75" s="480"/>
      <c r="F75" s="480"/>
      <c r="G75" s="216" t="s">
        <v>119</v>
      </c>
      <c r="H75" s="216"/>
      <c r="I75" s="216"/>
      <c r="J75" s="193"/>
    </row>
    <row r="76" spans="1:10" ht="20.25">
      <c r="A76" s="186"/>
      <c r="B76" s="190"/>
      <c r="C76" s="187"/>
      <c r="D76" s="195" t="s">
        <v>117</v>
      </c>
      <c r="E76" s="191"/>
      <c r="F76" s="192"/>
      <c r="G76" s="195" t="s">
        <v>120</v>
      </c>
      <c r="H76" s="216"/>
      <c r="I76" s="217"/>
      <c r="J76" s="193"/>
    </row>
    <row r="77" spans="1:10" ht="20.25">
      <c r="A77" s="186"/>
      <c r="B77" s="190"/>
      <c r="C77" s="187"/>
      <c r="D77" s="191"/>
      <c r="E77" s="191"/>
      <c r="F77" s="192"/>
      <c r="G77" s="196" t="s">
        <v>121</v>
      </c>
      <c r="H77" s="191"/>
      <c r="I77" s="218"/>
      <c r="J77" s="193"/>
    </row>
    <row r="78" spans="1:10" ht="21" thickBot="1">
      <c r="A78" s="219"/>
      <c r="B78" s="220"/>
      <c r="C78" s="221"/>
      <c r="D78" s="222"/>
      <c r="E78" s="222"/>
      <c r="F78" s="223"/>
      <c r="G78" s="222"/>
      <c r="H78" s="223"/>
      <c r="I78" s="222"/>
      <c r="J78" s="224"/>
    </row>
  </sheetData>
  <sheetProtection/>
  <mergeCells count="7">
    <mergeCell ref="D75:F75"/>
    <mergeCell ref="B1:J1"/>
    <mergeCell ref="B2:J2"/>
    <mergeCell ref="B3:J3"/>
    <mergeCell ref="B66:D66"/>
    <mergeCell ref="D73:F73"/>
    <mergeCell ref="D74:F74"/>
  </mergeCells>
  <printOptions horizontalCentered="1"/>
  <pageMargins left="0.7086614173228347" right="0.5118110236220472" top="0.7480314960629921" bottom="0.7480314960629921" header="0" footer="0"/>
  <pageSetup horizontalDpi="600" verticalDpi="600" orientation="portrait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99"/>
  <sheetViews>
    <sheetView zoomScalePageLayoutView="0" workbookViewId="0" topLeftCell="A25">
      <selection activeCell="C13" sqref="C13"/>
    </sheetView>
  </sheetViews>
  <sheetFormatPr defaultColWidth="9.140625" defaultRowHeight="15"/>
  <cols>
    <col min="1" max="1" width="5.140625" style="0" customWidth="1"/>
    <col min="2" max="2" width="41.28125" style="0" bestFit="1" customWidth="1"/>
    <col min="3" max="3" width="29.28125" style="0" customWidth="1"/>
    <col min="4" max="4" width="25.421875" style="0" bestFit="1" customWidth="1"/>
    <col min="5" max="5" width="3.57421875" style="0" customWidth="1"/>
    <col min="6" max="6" width="25.421875" style="0" customWidth="1"/>
    <col min="7" max="7" width="4.28125" style="0" customWidth="1"/>
    <col min="8" max="8" width="25.421875" style="0" bestFit="1" customWidth="1"/>
    <col min="9" max="9" width="4.8515625" style="0" customWidth="1"/>
    <col min="10" max="10" width="25.421875" style="0" customWidth="1"/>
    <col min="11" max="11" width="2.57421875" style="0" customWidth="1"/>
    <col min="12" max="12" width="19.8515625" style="2" bestFit="1" customWidth="1"/>
    <col min="13" max="13" width="10.8515625" style="0" hidden="1" customWidth="1"/>
    <col min="14" max="14" width="10.140625" style="0" hidden="1" customWidth="1"/>
    <col min="15" max="15" width="37.28125" style="0" hidden="1" customWidth="1"/>
    <col min="16" max="16" width="6.28125" style="0" hidden="1" customWidth="1"/>
    <col min="17" max="17" width="18.8515625" style="0" hidden="1" customWidth="1"/>
    <col min="18" max="18" width="0" style="0" hidden="1" customWidth="1"/>
    <col min="19" max="19" width="17.421875" style="0" bestFit="1" customWidth="1"/>
  </cols>
  <sheetData>
    <row r="1" spans="4:11" ht="15">
      <c r="D1" s="259">
        <v>2014</v>
      </c>
      <c r="E1" s="259"/>
      <c r="F1" s="259"/>
      <c r="H1" s="259">
        <v>2015</v>
      </c>
      <c r="I1" s="259"/>
      <c r="J1" s="259">
        <v>2016</v>
      </c>
      <c r="K1" s="259"/>
    </row>
    <row r="2" ht="15">
      <c r="B2" t="s">
        <v>0</v>
      </c>
    </row>
    <row r="3" ht="15">
      <c r="B3" t="s">
        <v>1</v>
      </c>
    </row>
    <row r="4" spans="2:15" ht="15">
      <c r="B4" t="s">
        <v>2</v>
      </c>
      <c r="D4" s="130">
        <f>+PRESENTACION!F9</f>
        <v>15893132</v>
      </c>
      <c r="E4" s="130"/>
      <c r="F4" s="2">
        <f>+H4-D4</f>
        <v>14555002</v>
      </c>
      <c r="H4" s="130">
        <f>+PRESENTACION!J9</f>
        <v>30448134</v>
      </c>
      <c r="I4" s="130"/>
      <c r="J4" s="130">
        <f>+PRESENTACION!L9</f>
        <v>19241044</v>
      </c>
      <c r="K4" s="130"/>
      <c r="L4" s="2">
        <f>+J4-H4</f>
        <v>-11207090</v>
      </c>
      <c r="M4" s="301">
        <f>+L4/D4</f>
        <v>-0.7051530182974634</v>
      </c>
      <c r="O4" s="13"/>
    </row>
    <row r="5" spans="2:15" ht="15">
      <c r="B5" t="s">
        <v>3</v>
      </c>
      <c r="D5" s="130">
        <f>+PRESENTACION!F10</f>
        <v>53301353</v>
      </c>
      <c r="E5" s="130"/>
      <c r="F5" s="2">
        <f aca="true" t="shared" si="0" ref="F5:F23">+H5-D5</f>
        <v>26033917</v>
      </c>
      <c r="H5" s="130">
        <f>+PRESENTACION!J10</f>
        <v>79335270</v>
      </c>
      <c r="I5" s="130"/>
      <c r="J5" s="130">
        <f>+PRESENTACION!L10</f>
        <v>142013747.69</v>
      </c>
      <c r="K5" s="130"/>
      <c r="L5" s="2">
        <f aca="true" t="shared" si="1" ref="L5:L48">+J5-H5</f>
        <v>62678477.69</v>
      </c>
      <c r="M5" s="301">
        <f>+L5/D5</f>
        <v>1.175926579011981</v>
      </c>
      <c r="O5" s="13"/>
    </row>
    <row r="6" spans="2:13" ht="15">
      <c r="B6" t="s">
        <v>4</v>
      </c>
      <c r="C6" s="13">
        <f>SUM(D4:D6)</f>
        <v>358121923</v>
      </c>
      <c r="D6" s="130">
        <f>+PRESENTACION!F11</f>
        <v>288927438</v>
      </c>
      <c r="E6" s="130"/>
      <c r="F6" s="2">
        <f t="shared" si="0"/>
        <v>71402474</v>
      </c>
      <c r="H6" s="130">
        <f>+PRESENTACION!J11</f>
        <v>360329912</v>
      </c>
      <c r="I6" s="130"/>
      <c r="J6" s="130">
        <f>+PRESENTACION!L11</f>
        <v>334145447.55</v>
      </c>
      <c r="K6" s="130"/>
      <c r="L6" s="2">
        <f t="shared" si="1"/>
        <v>-26184464.449999988</v>
      </c>
      <c r="M6" s="301">
        <f>+L6/D6</f>
        <v>-0.09062643766633195</v>
      </c>
    </row>
    <row r="7" spans="2:13" ht="15">
      <c r="B7" t="s">
        <v>5</v>
      </c>
      <c r="D7" s="130">
        <f>+PRESENTACION!F13</f>
        <v>1143324</v>
      </c>
      <c r="E7" s="130"/>
      <c r="F7" s="2">
        <f t="shared" si="0"/>
        <v>0</v>
      </c>
      <c r="H7" s="130">
        <f>+PRESENTACION!J13</f>
        <v>1143324</v>
      </c>
      <c r="I7" s="130"/>
      <c r="J7" s="130">
        <f>+PRESENTACION!L13</f>
        <v>0</v>
      </c>
      <c r="K7" s="130"/>
      <c r="L7" s="2">
        <f t="shared" si="1"/>
        <v>-1143324</v>
      </c>
      <c r="M7" s="301"/>
    </row>
    <row r="8" spans="2:15" ht="15">
      <c r="B8" t="s">
        <v>6</v>
      </c>
      <c r="D8" s="130">
        <f>+PRESENTACION!F15+PRESENTACION!F16</f>
        <v>1018665384</v>
      </c>
      <c r="E8" s="130"/>
      <c r="F8" s="2">
        <f t="shared" si="0"/>
        <v>-169607301</v>
      </c>
      <c r="H8" s="130">
        <f>+PRESENTACION!J15+PRESENTACION!J16</f>
        <v>849058083</v>
      </c>
      <c r="I8" s="130"/>
      <c r="J8" s="130">
        <f>+PRESENTACION!L15+PRESENTACION!L16</f>
        <v>636900266</v>
      </c>
      <c r="K8" s="130"/>
      <c r="L8" s="2">
        <f t="shared" si="1"/>
        <v>-212157817</v>
      </c>
      <c r="M8" s="301">
        <f>+L8/D8</f>
        <v>-0.2082703705577179</v>
      </c>
      <c r="N8" t="s">
        <v>412</v>
      </c>
      <c r="O8" s="5"/>
    </row>
    <row r="9" spans="2:15" ht="15">
      <c r="B9" t="s">
        <v>7</v>
      </c>
      <c r="D9" s="130">
        <f>+PRESENTACION!F17</f>
        <v>0</v>
      </c>
      <c r="E9" s="130"/>
      <c r="F9" s="2">
        <f t="shared" si="0"/>
        <v>0</v>
      </c>
      <c r="H9" s="130">
        <f>+PRESENTACION!J17</f>
        <v>0</v>
      </c>
      <c r="I9" s="130"/>
      <c r="J9" s="130">
        <f>+PRESENTACION!L17</f>
        <v>0</v>
      </c>
      <c r="K9" s="130"/>
      <c r="L9" s="2">
        <f t="shared" si="1"/>
        <v>0</v>
      </c>
      <c r="M9" s="301" t="e">
        <f>+L9/D9</f>
        <v>#DIV/0!</v>
      </c>
      <c r="N9" t="s">
        <v>413</v>
      </c>
      <c r="O9" s="13">
        <f>+L9+L11+L12+L21+L22+L23</f>
        <v>60655265.45</v>
      </c>
    </row>
    <row r="10" spans="2:14" ht="15">
      <c r="B10" t="s">
        <v>8</v>
      </c>
      <c r="D10" s="12">
        <f>+PRESENTACION!F19</f>
        <v>167599802</v>
      </c>
      <c r="E10" s="130"/>
      <c r="F10" s="2">
        <f t="shared" si="0"/>
        <v>-784380</v>
      </c>
      <c r="H10" s="12">
        <f>+PRESENTACION!J19</f>
        <v>166815422</v>
      </c>
      <c r="I10" s="12"/>
      <c r="J10" s="12">
        <f>+PRESENTACION!L19</f>
        <v>125316820</v>
      </c>
      <c r="K10" s="130"/>
      <c r="L10" s="2">
        <f t="shared" si="1"/>
        <v>-41498602</v>
      </c>
      <c r="M10" s="301">
        <f>+L10/D10</f>
        <v>-0.247605316383369</v>
      </c>
      <c r="N10" t="s">
        <v>412</v>
      </c>
    </row>
    <row r="11" spans="2:14" ht="15">
      <c r="B11" t="s">
        <v>9</v>
      </c>
      <c r="D11" s="130">
        <f>+PRESENTACION!F20</f>
        <v>-34471448</v>
      </c>
      <c r="E11" s="130"/>
      <c r="F11" s="2">
        <f t="shared" si="0"/>
        <v>4197382</v>
      </c>
      <c r="H11" s="130">
        <f>+PRESENTACION!J20</f>
        <v>-30274066</v>
      </c>
      <c r="I11" s="130"/>
      <c r="J11" s="130">
        <f>+PRESENTACION!L20</f>
        <v>-31447229.55</v>
      </c>
      <c r="K11" s="130"/>
      <c r="L11" s="2">
        <f t="shared" si="1"/>
        <v>-1173163.5500000007</v>
      </c>
      <c r="M11" s="301">
        <f>+L11/D11</f>
        <v>0.034032906015436334</v>
      </c>
      <c r="N11" t="s">
        <v>411</v>
      </c>
    </row>
    <row r="12" spans="2:19" ht="15">
      <c r="B12" t="s">
        <v>10</v>
      </c>
      <c r="D12" s="130"/>
      <c r="E12" s="130"/>
      <c r="F12" s="2">
        <f t="shared" si="0"/>
        <v>0</v>
      </c>
      <c r="H12" s="130"/>
      <c r="I12" s="130"/>
      <c r="J12" s="130"/>
      <c r="K12" s="130"/>
      <c r="L12" s="2">
        <f t="shared" si="1"/>
        <v>0</v>
      </c>
      <c r="M12" s="301">
        <f aca="true" t="shared" si="2" ref="M12:M20">+L12/D13</f>
        <v>0</v>
      </c>
      <c r="N12" t="s">
        <v>413</v>
      </c>
      <c r="S12" s="13"/>
    </row>
    <row r="13" spans="2:14" ht="15">
      <c r="B13" t="s">
        <v>11</v>
      </c>
      <c r="C13" s="14">
        <f>+F13+F14+F16+F17+F19+F20+F18</f>
        <v>39769270</v>
      </c>
      <c r="D13" s="130">
        <f>+PRESENTACION!F22+PRESENTACION!F23+PRESENTACION!F24</f>
        <v>63076180</v>
      </c>
      <c r="E13" s="130"/>
      <c r="F13" s="2">
        <f t="shared" si="0"/>
        <v>65407290</v>
      </c>
      <c r="H13" s="130">
        <f>+PRESENTACION!J22</f>
        <v>128483470</v>
      </c>
      <c r="I13" s="130"/>
      <c r="J13" s="130">
        <f>+PRESENTACION!L22</f>
        <v>18617077</v>
      </c>
      <c r="K13" s="130"/>
      <c r="L13" s="2">
        <f t="shared" si="1"/>
        <v>-109866393</v>
      </c>
      <c r="M13" s="301" t="e">
        <f t="shared" si="2"/>
        <v>#DIV/0!</v>
      </c>
      <c r="N13" t="s">
        <v>413</v>
      </c>
    </row>
    <row r="14" spans="2:14" ht="15">
      <c r="B14" t="s">
        <v>12</v>
      </c>
      <c r="D14" s="130"/>
      <c r="E14" s="130"/>
      <c r="F14" s="2">
        <f t="shared" si="0"/>
        <v>0</v>
      </c>
      <c r="H14" s="130"/>
      <c r="I14" s="130"/>
      <c r="J14" s="130"/>
      <c r="K14" s="130"/>
      <c r="L14" s="2">
        <f t="shared" si="1"/>
        <v>0</v>
      </c>
      <c r="M14" s="301">
        <f t="shared" si="2"/>
        <v>0</v>
      </c>
      <c r="N14" t="s">
        <v>412</v>
      </c>
    </row>
    <row r="15" spans="2:15" ht="15">
      <c r="B15" t="s">
        <v>13</v>
      </c>
      <c r="D15" s="130">
        <f>+PRESENTACION!F25</f>
        <v>24015188</v>
      </c>
      <c r="E15" s="130"/>
      <c r="F15" s="2">
        <f t="shared" si="0"/>
        <v>13507995</v>
      </c>
      <c r="H15" s="130">
        <f>+PRESENTACION!J25</f>
        <v>37523183</v>
      </c>
      <c r="I15" s="130"/>
      <c r="J15" s="130">
        <f>+PRESENTACION!L25</f>
        <v>33775839</v>
      </c>
      <c r="K15" s="130"/>
      <c r="L15" s="2">
        <f t="shared" si="1"/>
        <v>-3747344</v>
      </c>
      <c r="M15" s="301">
        <f t="shared" si="2"/>
        <v>-0.048164854847255724</v>
      </c>
      <c r="N15" t="s">
        <v>413</v>
      </c>
      <c r="O15" s="12"/>
    </row>
    <row r="16" spans="2:14" ht="15">
      <c r="B16" t="s">
        <v>14</v>
      </c>
      <c r="D16" s="130">
        <f>+PRESENTACION!F27</f>
        <v>77802456</v>
      </c>
      <c r="E16" s="130"/>
      <c r="F16" s="2">
        <f t="shared" si="0"/>
        <v>-11491947</v>
      </c>
      <c r="H16" s="130">
        <f>+PRESENTACION!J27</f>
        <v>66310509</v>
      </c>
      <c r="I16" s="130"/>
      <c r="J16" s="130">
        <f>+PRESENTACION!L27</f>
        <v>67873511</v>
      </c>
      <c r="K16" s="130"/>
      <c r="L16" s="2">
        <f t="shared" si="1"/>
        <v>1563002</v>
      </c>
      <c r="M16" s="301">
        <f t="shared" si="2"/>
        <v>0.26156109435147573</v>
      </c>
      <c r="N16" t="s">
        <v>412</v>
      </c>
    </row>
    <row r="17" spans="2:14" ht="15">
      <c r="B17" t="s">
        <v>15</v>
      </c>
      <c r="D17" s="6">
        <f>+PRESENTACION!F28</f>
        <v>5975667</v>
      </c>
      <c r="E17" s="6"/>
      <c r="F17" s="2">
        <f t="shared" si="0"/>
        <v>2603243</v>
      </c>
      <c r="H17" s="6">
        <f>+PRESENTACION!J28</f>
        <v>8578910</v>
      </c>
      <c r="I17" s="6"/>
      <c r="J17" s="6">
        <f>+PRESENTACION!L28</f>
        <v>4080324</v>
      </c>
      <c r="K17" s="130"/>
      <c r="L17" s="2">
        <f t="shared" si="1"/>
        <v>-4498586</v>
      </c>
      <c r="M17" s="301" t="e">
        <f t="shared" si="2"/>
        <v>#DIV/0!</v>
      </c>
      <c r="N17" t="s">
        <v>412</v>
      </c>
    </row>
    <row r="18" spans="2:14" ht="15">
      <c r="B18" t="s">
        <v>16</v>
      </c>
      <c r="D18" s="130"/>
      <c r="E18" s="130"/>
      <c r="F18" s="2">
        <f t="shared" si="0"/>
        <v>0</v>
      </c>
      <c r="H18" s="130"/>
      <c r="I18" s="130"/>
      <c r="J18" s="130"/>
      <c r="K18" s="130"/>
      <c r="L18" s="2">
        <f t="shared" si="1"/>
        <v>0</v>
      </c>
      <c r="M18" s="301">
        <f t="shared" si="2"/>
        <v>0</v>
      </c>
      <c r="N18" t="s">
        <v>413</v>
      </c>
    </row>
    <row r="19" spans="2:19" ht="15">
      <c r="B19" t="s">
        <v>17</v>
      </c>
      <c r="C19" s="12"/>
      <c r="D19" s="130">
        <f>+PRESENTACION!F29</f>
        <v>1498068</v>
      </c>
      <c r="E19" s="130"/>
      <c r="F19" s="2">
        <f t="shared" si="0"/>
        <v>13212836</v>
      </c>
      <c r="H19" s="130">
        <f>+PRESENTACION!J29</f>
        <v>14710904</v>
      </c>
      <c r="I19" s="130"/>
      <c r="J19" s="130">
        <f>+PRESENTACION!L29</f>
        <v>4367157</v>
      </c>
      <c r="K19" s="130"/>
      <c r="L19" s="2">
        <f t="shared" si="1"/>
        <v>-10343747</v>
      </c>
      <c r="M19" s="301">
        <f t="shared" si="2"/>
        <v>-0.2478371047432807</v>
      </c>
      <c r="N19" t="s">
        <v>413</v>
      </c>
      <c r="S19" s="12">
        <f>+L13+L14+L16+L17+L18+L19+L20</f>
        <v>-103414437</v>
      </c>
    </row>
    <row r="20" spans="2:15" ht="15">
      <c r="B20" t="s">
        <v>18</v>
      </c>
      <c r="D20" s="130">
        <f>+PRESENTACION!F31</f>
        <v>41736071</v>
      </c>
      <c r="E20" s="6"/>
      <c r="F20" s="2">
        <f t="shared" si="0"/>
        <v>-29962152</v>
      </c>
      <c r="H20" s="130">
        <f>+PRESENTACION!J31</f>
        <v>11773919</v>
      </c>
      <c r="I20" s="130"/>
      <c r="J20" s="130">
        <f>+PRESENTACION!L31</f>
        <v>31505206</v>
      </c>
      <c r="K20" s="130"/>
      <c r="L20" s="2">
        <f t="shared" si="1"/>
        <v>19731287</v>
      </c>
      <c r="M20" s="301">
        <f t="shared" si="2"/>
        <v>-0.21472980878376993</v>
      </c>
      <c r="N20" t="s">
        <v>412</v>
      </c>
      <c r="O20" s="109"/>
    </row>
    <row r="21" spans="2:15" ht="15">
      <c r="B21" t="s">
        <v>19</v>
      </c>
      <c r="D21" s="130">
        <f>+PRESENTACION!F32</f>
        <v>-91888905</v>
      </c>
      <c r="E21" s="130"/>
      <c r="F21" s="2">
        <f t="shared" si="0"/>
        <v>-27161638</v>
      </c>
      <c r="H21" s="130">
        <f>+PRESENTACION!J32</f>
        <v>-119050543</v>
      </c>
      <c r="I21" s="130"/>
      <c r="J21" s="130">
        <f>+PRESENTACION!L32</f>
        <v>-55806681</v>
      </c>
      <c r="K21" s="130"/>
      <c r="L21" s="2">
        <f t="shared" si="1"/>
        <v>63243862</v>
      </c>
      <c r="M21" s="301" t="e">
        <f>+L21/#REF!</f>
        <v>#REF!</v>
      </c>
      <c r="O21" s="12"/>
    </row>
    <row r="22" spans="2:13" ht="15">
      <c r="B22" t="s">
        <v>20</v>
      </c>
      <c r="C22" s="130"/>
      <c r="D22" s="130"/>
      <c r="E22" s="130"/>
      <c r="F22" s="2">
        <f t="shared" si="0"/>
        <v>0</v>
      </c>
      <c r="H22" s="130"/>
      <c r="I22" s="130"/>
      <c r="J22" s="130"/>
      <c r="K22" s="130"/>
      <c r="L22" s="2">
        <f t="shared" si="1"/>
        <v>0</v>
      </c>
      <c r="M22" s="301" t="e">
        <f>+L22/D22</f>
        <v>#DIV/0!</v>
      </c>
    </row>
    <row r="23" spans="2:19" ht="15">
      <c r="B23" t="s">
        <v>21</v>
      </c>
      <c r="C23" s="14">
        <f>+F11+F12+F21+F22+F23+F46</f>
        <v>-22964256</v>
      </c>
      <c r="D23" s="130">
        <f>+PRESENTACION!F26</f>
        <v>0</v>
      </c>
      <c r="E23" s="130"/>
      <c r="F23" s="2">
        <f t="shared" si="0"/>
        <v>0</v>
      </c>
      <c r="H23" s="130">
        <f>+PRESENTACION!J26</f>
        <v>0</v>
      </c>
      <c r="I23" s="130"/>
      <c r="J23" s="130">
        <f>+PRESENTACION!L26</f>
        <v>-1415433</v>
      </c>
      <c r="K23" s="130"/>
      <c r="L23" s="2">
        <f t="shared" si="1"/>
        <v>-1415433</v>
      </c>
      <c r="M23" s="301" t="e">
        <f>+L23/D23</f>
        <v>#DIV/0!</v>
      </c>
      <c r="O23" s="13"/>
      <c r="P23" s="13"/>
      <c r="Q23" s="13"/>
      <c r="R23" s="13">
        <f>SUM(K4:K23)</f>
        <v>0</v>
      </c>
      <c r="S23" s="13">
        <f>+L11+L21+L23+L46</f>
        <v>35070198.229999974</v>
      </c>
    </row>
    <row r="24" spans="4:18" ht="15">
      <c r="D24" s="130"/>
      <c r="E24" s="130"/>
      <c r="F24" s="130"/>
      <c r="H24" s="130"/>
      <c r="I24" s="130"/>
      <c r="J24" s="130"/>
      <c r="L24" s="2">
        <f t="shared" si="1"/>
        <v>0</v>
      </c>
      <c r="O24" s="13"/>
      <c r="P24" s="13"/>
      <c r="Q24" s="13"/>
      <c r="R24" s="13">
        <f>SUM(K53:K64)</f>
        <v>0</v>
      </c>
    </row>
    <row r="25" spans="2:17" ht="15">
      <c r="B25" t="s">
        <v>22</v>
      </c>
      <c r="L25" s="2">
        <f t="shared" si="1"/>
        <v>0</v>
      </c>
      <c r="O25" s="12"/>
      <c r="P25" s="12"/>
      <c r="Q25" s="12"/>
    </row>
    <row r="26" spans="12:15" ht="15">
      <c r="L26" s="2">
        <f t="shared" si="1"/>
        <v>0</v>
      </c>
      <c r="O26" s="12"/>
    </row>
    <row r="27" spans="4:12" ht="15">
      <c r="D27" s="181"/>
      <c r="E27" s="181"/>
      <c r="F27" s="181"/>
      <c r="H27" s="181"/>
      <c r="I27" s="181"/>
      <c r="J27" s="181"/>
      <c r="L27" s="2">
        <f t="shared" si="1"/>
        <v>0</v>
      </c>
    </row>
    <row r="28" ht="15">
      <c r="L28" s="2">
        <f t="shared" si="1"/>
        <v>0</v>
      </c>
    </row>
    <row r="29" spans="2:12" ht="15">
      <c r="B29" t="s">
        <v>23</v>
      </c>
      <c r="L29" s="2">
        <f t="shared" si="1"/>
        <v>0</v>
      </c>
    </row>
    <row r="30" spans="2:14" ht="15">
      <c r="B30" t="s">
        <v>24</v>
      </c>
      <c r="D30" s="130">
        <f>+PRESENTACION!F34</f>
        <v>155866190</v>
      </c>
      <c r="E30" s="130"/>
      <c r="F30" s="2">
        <f>+H30-D30</f>
        <v>0</v>
      </c>
      <c r="H30" s="130">
        <f>+PRESENTACION!J34</f>
        <v>155866190</v>
      </c>
      <c r="I30" s="130"/>
      <c r="J30" s="130">
        <f>+PRESENTACION!L34</f>
        <v>155866190</v>
      </c>
      <c r="K30" s="130"/>
      <c r="L30" s="2">
        <f t="shared" si="1"/>
        <v>0</v>
      </c>
      <c r="M30" s="301">
        <f>+L30/D30</f>
        <v>0</v>
      </c>
      <c r="N30" t="s">
        <v>411</v>
      </c>
    </row>
    <row r="31" spans="2:14" ht="15">
      <c r="B31" t="s">
        <v>25</v>
      </c>
      <c r="D31" s="130">
        <f>+PRESENTACION!F35</f>
        <v>636108571</v>
      </c>
      <c r="E31" s="130"/>
      <c r="F31" s="2">
        <f aca="true" t="shared" si="3" ref="F31:F49">+H31-D31</f>
        <v>3407127</v>
      </c>
      <c r="H31" s="130">
        <f>+PRESENTACION!J35</f>
        <v>639515698</v>
      </c>
      <c r="I31" s="130"/>
      <c r="J31" s="130">
        <f>+PRESENTACION!L35</f>
        <v>648532542</v>
      </c>
      <c r="K31" s="130"/>
      <c r="L31" s="2">
        <f t="shared" si="1"/>
        <v>9016844</v>
      </c>
      <c r="M31" s="301">
        <f aca="true" t="shared" si="4" ref="M31:M37">+L31/D31</f>
        <v>0.014175007869843654</v>
      </c>
      <c r="N31" t="s">
        <v>411</v>
      </c>
    </row>
    <row r="32" spans="2:14" ht="15">
      <c r="B32" t="s">
        <v>26</v>
      </c>
      <c r="D32" s="130">
        <f>+PRESENTACION!F36</f>
        <v>9266300</v>
      </c>
      <c r="E32" s="130"/>
      <c r="F32" s="2">
        <f t="shared" si="3"/>
        <v>0</v>
      </c>
      <c r="H32" s="130">
        <f>+PRESENTACION!J36</f>
        <v>9266300</v>
      </c>
      <c r="I32" s="130"/>
      <c r="J32" s="130">
        <f>+PRESENTACION!L36</f>
        <v>16189110</v>
      </c>
      <c r="K32" s="130"/>
      <c r="L32" s="2">
        <f t="shared" si="1"/>
        <v>6922810</v>
      </c>
      <c r="M32" s="301">
        <f t="shared" si="4"/>
        <v>0.747095388666458</v>
      </c>
      <c r="N32" t="s">
        <v>413</v>
      </c>
    </row>
    <row r="33" spans="2:13" ht="15">
      <c r="B33" t="s">
        <v>27</v>
      </c>
      <c r="D33" s="130"/>
      <c r="E33" s="130"/>
      <c r="F33" s="2">
        <f t="shared" si="3"/>
        <v>0</v>
      </c>
      <c r="H33" s="130"/>
      <c r="I33" s="130"/>
      <c r="J33" s="130"/>
      <c r="K33" s="130"/>
      <c r="L33" s="2">
        <f t="shared" si="1"/>
        <v>0</v>
      </c>
      <c r="M33" s="301" t="e">
        <f t="shared" si="4"/>
        <v>#DIV/0!</v>
      </c>
    </row>
    <row r="34" spans="2:14" ht="15">
      <c r="B34" t="s">
        <v>28</v>
      </c>
      <c r="D34" s="130">
        <f>+PRESENTACION!F37</f>
        <v>59003381</v>
      </c>
      <c r="E34" s="130"/>
      <c r="F34" s="2">
        <f t="shared" si="3"/>
        <v>5000000</v>
      </c>
      <c r="H34" s="130">
        <f>+PRESENTACION!J37</f>
        <v>64003381</v>
      </c>
      <c r="I34" s="130"/>
      <c r="J34" s="130">
        <f>+PRESENTACION!L37</f>
        <v>68787328</v>
      </c>
      <c r="K34" s="130"/>
      <c r="L34" s="2">
        <f t="shared" si="1"/>
        <v>4783947</v>
      </c>
      <c r="M34" s="301">
        <f t="shared" si="4"/>
        <v>0.08107920120713083</v>
      </c>
      <c r="N34" t="s">
        <v>413</v>
      </c>
    </row>
    <row r="35" spans="2:19" ht="15">
      <c r="B35" t="s">
        <v>29</v>
      </c>
      <c r="D35" s="130">
        <f>+PRESENTACION!F38</f>
        <v>169313880</v>
      </c>
      <c r="E35" s="130"/>
      <c r="F35" s="2">
        <f t="shared" si="3"/>
        <v>950000</v>
      </c>
      <c r="H35" s="130">
        <f>+PRESENTACION!J38</f>
        <v>170263880</v>
      </c>
      <c r="I35" s="130"/>
      <c r="J35" s="130">
        <f>+PRESENTACION!L38</f>
        <v>180083387</v>
      </c>
      <c r="K35" s="130"/>
      <c r="L35" s="2">
        <f t="shared" si="1"/>
        <v>9819507</v>
      </c>
      <c r="M35" s="301">
        <f t="shared" si="4"/>
        <v>0.05799587724290531</v>
      </c>
      <c r="N35" t="s">
        <v>411</v>
      </c>
      <c r="S35" s="13">
        <f>SUM(L31:L35)</f>
        <v>30543108</v>
      </c>
    </row>
    <row r="36" spans="2:13" ht="15">
      <c r="B36" t="s">
        <v>30</v>
      </c>
      <c r="D36" s="130"/>
      <c r="E36" s="130"/>
      <c r="F36" s="2">
        <f t="shared" si="3"/>
        <v>0</v>
      </c>
      <c r="H36" s="130"/>
      <c r="I36" s="130"/>
      <c r="J36" s="130"/>
      <c r="K36" s="130"/>
      <c r="L36" s="2">
        <f t="shared" si="1"/>
        <v>0</v>
      </c>
      <c r="M36" s="301" t="e">
        <f t="shared" si="4"/>
        <v>#DIV/0!</v>
      </c>
    </row>
    <row r="37" spans="2:19" ht="15">
      <c r="B37" t="s">
        <v>31</v>
      </c>
      <c r="D37" s="130">
        <f>+PRESENTACION!F39</f>
        <v>-214458185.1</v>
      </c>
      <c r="E37" s="130"/>
      <c r="F37" s="2">
        <f t="shared" si="3"/>
        <v>-24023662.508278012</v>
      </c>
      <c r="H37" s="130">
        <f>+PRESENTACION!J39</f>
        <v>-238481847.608278</v>
      </c>
      <c r="I37" s="130"/>
      <c r="J37" s="130">
        <f>+PRESENTACION!L39</f>
        <v>-259789809</v>
      </c>
      <c r="K37" s="130"/>
      <c r="L37" s="2">
        <f t="shared" si="1"/>
        <v>-21307961.391721994</v>
      </c>
      <c r="M37" s="301">
        <f t="shared" si="4"/>
        <v>0.09935718416056853</v>
      </c>
      <c r="S37" s="181"/>
    </row>
    <row r="38" spans="2:19" ht="15">
      <c r="F38" s="2">
        <f t="shared" si="3"/>
        <v>0</v>
      </c>
      <c r="L38" s="2">
        <f t="shared" si="1"/>
        <v>0</v>
      </c>
      <c r="S38" s="12"/>
    </row>
    <row r="39" spans="2:12" ht="15">
      <c r="B39" t="s">
        <v>33</v>
      </c>
      <c r="F39" s="2">
        <f t="shared" si="3"/>
        <v>0</v>
      </c>
      <c r="L39" s="2">
        <f t="shared" si="1"/>
        <v>0</v>
      </c>
    </row>
    <row r="40" spans="2:15" ht="15">
      <c r="B40" t="s">
        <v>34</v>
      </c>
      <c r="D40" s="130">
        <f>+PRESENTACION!F44</f>
        <v>35889688</v>
      </c>
      <c r="E40" s="130"/>
      <c r="F40" s="2">
        <f t="shared" si="3"/>
        <v>7690893.810000002</v>
      </c>
      <c r="H40" s="130">
        <f>+PRESENTACION!J44</f>
        <v>43580581.81</v>
      </c>
      <c r="I40" s="130"/>
      <c r="J40" s="130">
        <f>+PRESENTACION!L44</f>
        <v>44461233</v>
      </c>
      <c r="K40" s="130"/>
      <c r="L40" s="2">
        <f t="shared" si="1"/>
        <v>880651.1899999976</v>
      </c>
      <c r="M40" s="301">
        <f aca="true" t="shared" si="5" ref="M40:M46">+L40/D40</f>
        <v>0.024537722088862898</v>
      </c>
      <c r="N40" t="s">
        <v>413</v>
      </c>
      <c r="O40" s="5"/>
    </row>
    <row r="41" spans="2:14" ht="15">
      <c r="B41" t="s">
        <v>35</v>
      </c>
      <c r="D41" s="130"/>
      <c r="E41" s="6"/>
      <c r="F41" s="2">
        <f t="shared" si="3"/>
        <v>0</v>
      </c>
      <c r="H41" s="130"/>
      <c r="I41" s="130"/>
      <c r="J41" s="130"/>
      <c r="K41" s="130"/>
      <c r="L41" s="2">
        <f t="shared" si="1"/>
        <v>0</v>
      </c>
      <c r="M41" s="301" t="e">
        <f t="shared" si="5"/>
        <v>#DIV/0!</v>
      </c>
      <c r="N41" t="s">
        <v>413</v>
      </c>
    </row>
    <row r="42" spans="2:13" ht="15">
      <c r="B42" t="s">
        <v>36</v>
      </c>
      <c r="D42" s="130"/>
      <c r="E42" s="130"/>
      <c r="F42" s="2">
        <f t="shared" si="3"/>
        <v>0</v>
      </c>
      <c r="H42" s="130"/>
      <c r="I42" s="130"/>
      <c r="J42" s="130"/>
      <c r="K42" s="130"/>
      <c r="L42" s="2">
        <f t="shared" si="1"/>
        <v>0</v>
      </c>
      <c r="M42" s="301" t="e">
        <f t="shared" si="5"/>
        <v>#DIV/0!</v>
      </c>
    </row>
    <row r="43" spans="2:13" ht="15">
      <c r="B43" t="s">
        <v>37</v>
      </c>
      <c r="D43" s="130">
        <f>+PRESENTACION!F46+PRESENTACION!F47+PRESENTACION!F49</f>
        <v>427639557</v>
      </c>
      <c r="E43" s="130"/>
      <c r="F43" s="2">
        <f t="shared" si="3"/>
        <v>0</v>
      </c>
      <c r="H43" s="130">
        <f>+PRESENTACION!J46+PRESENTACION!J47+PRESENTACION!J49</f>
        <v>427639557</v>
      </c>
      <c r="I43" s="130"/>
      <c r="J43" s="130">
        <f>+PRESENTACION!L46+PRESENTACION!L47+PRESENTACION!L49</f>
        <v>630708082</v>
      </c>
      <c r="K43" s="130"/>
      <c r="L43" s="2">
        <f t="shared" si="1"/>
        <v>203068525</v>
      </c>
      <c r="M43" s="301">
        <f t="shared" si="5"/>
        <v>0.4748590762383565</v>
      </c>
    </row>
    <row r="44" spans="2:13" ht="15">
      <c r="B44" t="s">
        <v>38</v>
      </c>
      <c r="D44" s="130">
        <f>+PRESENTACION!F52+PRESENTACION!F53</f>
        <v>121595197</v>
      </c>
      <c r="E44" s="130"/>
      <c r="F44" s="2">
        <f t="shared" si="3"/>
        <v>0</v>
      </c>
      <c r="H44" s="130">
        <f>+PRESENTACION!J52+PRESENTACION!J53</f>
        <v>121595197</v>
      </c>
      <c r="I44" s="130"/>
      <c r="J44" s="130">
        <f>+PRESENTACION!L52+PRESENTACION!L53</f>
        <v>121595199.02</v>
      </c>
      <c r="K44" s="130"/>
      <c r="L44" s="2">
        <f t="shared" si="1"/>
        <v>2.019999995827675</v>
      </c>
      <c r="M44" s="301">
        <f t="shared" si="5"/>
        <v>1.661249823730846E-08</v>
      </c>
    </row>
    <row r="45" spans="2:13" ht="15">
      <c r="B45" t="s">
        <v>39</v>
      </c>
      <c r="D45" s="130">
        <f>+PRESENTACION!F57</f>
        <v>0</v>
      </c>
      <c r="E45" s="130"/>
      <c r="F45" s="2">
        <f t="shared" si="3"/>
        <v>0</v>
      </c>
      <c r="H45" s="130">
        <f>+PRESENTACION!J57</f>
        <v>0</v>
      </c>
      <c r="I45" s="130"/>
      <c r="J45" s="130">
        <f>+PRESENTACION!L57</f>
        <v>0</v>
      </c>
      <c r="K45" s="130"/>
      <c r="L45" s="2">
        <f t="shared" si="1"/>
        <v>0</v>
      </c>
      <c r="M45" s="301" t="e">
        <f t="shared" si="5"/>
        <v>#DIV/0!</v>
      </c>
    </row>
    <row r="46" spans="2:13" ht="15">
      <c r="B46" t="s">
        <v>40</v>
      </c>
      <c r="D46" s="130">
        <f>+PRESENTACION!F50</f>
        <v>-427639557</v>
      </c>
      <c r="E46" s="130"/>
      <c r="F46" s="2">
        <f t="shared" si="3"/>
        <v>0</v>
      </c>
      <c r="H46" s="130">
        <f>+PRESENTACION!J50</f>
        <v>-427639557</v>
      </c>
      <c r="I46" s="130"/>
      <c r="J46" s="130">
        <f>+PRESENTACION!L50</f>
        <v>-453224624.22</v>
      </c>
      <c r="K46" s="130"/>
      <c r="L46" s="2">
        <f t="shared" si="1"/>
        <v>-25585067.22000003</v>
      </c>
      <c r="M46" s="301">
        <f t="shared" si="5"/>
        <v>0.05982857946885402</v>
      </c>
    </row>
    <row r="47" spans="2:12" ht="15">
      <c r="F47" s="2">
        <f t="shared" si="3"/>
        <v>0</v>
      </c>
      <c r="L47" s="2">
        <f t="shared" si="1"/>
        <v>0</v>
      </c>
    </row>
    <row r="48" spans="2:12" ht="15">
      <c r="B48" s="9" t="s">
        <v>41</v>
      </c>
      <c r="C48" s="9"/>
      <c r="D48" s="10">
        <f>SUM(D2:D47)</f>
        <v>2605858731.9</v>
      </c>
      <c r="E48" s="10"/>
      <c r="F48" s="2">
        <f t="shared" si="3"/>
        <v>-35062920.69827795</v>
      </c>
      <c r="G48" s="10"/>
      <c r="H48" s="10">
        <f>SUM(H2:H47)</f>
        <v>2570795811.201722</v>
      </c>
      <c r="I48" s="10"/>
      <c r="J48" s="10">
        <f>SUM(J2:J47)</f>
        <v>2482375733.49</v>
      </c>
      <c r="K48" s="10"/>
      <c r="L48" s="2">
        <f t="shared" si="1"/>
        <v>-88420077.71172237</v>
      </c>
    </row>
    <row r="49" spans="2:12" ht="15">
      <c r="F49" s="2">
        <f t="shared" si="3"/>
        <v>0</v>
      </c>
      <c r="L49" s="2">
        <f>+H49-D49</f>
        <v>0</v>
      </c>
    </row>
    <row r="50" spans="2:12" ht="15">
      <c r="D50" s="13"/>
      <c r="H50" s="13"/>
      <c r="I50" s="13"/>
      <c r="J50" s="13"/>
      <c r="L50" s="2">
        <f>+H50-D50</f>
        <v>0</v>
      </c>
    </row>
    <row r="51" spans="2:12" ht="15">
      <c r="B51" t="s">
        <v>42</v>
      </c>
      <c r="L51" s="2">
        <f>+H51-D51</f>
        <v>0</v>
      </c>
    </row>
    <row r="52" spans="2:12" ht="15">
      <c r="B52" t="s">
        <v>43</v>
      </c>
      <c r="L52" s="2">
        <f>+H52-D52</f>
        <v>0</v>
      </c>
    </row>
    <row r="53" spans="2:14" ht="15">
      <c r="B53" t="s">
        <v>44</v>
      </c>
      <c r="D53" s="130">
        <f>+PRESENTACION!F63+PRESENTACION!F64</f>
        <v>352896616</v>
      </c>
      <c r="E53" s="130"/>
      <c r="F53" s="130">
        <f>+H53-D53</f>
        <v>36106929</v>
      </c>
      <c r="H53" s="130">
        <f>+PRESENTACION!J63</f>
        <v>389003545</v>
      </c>
      <c r="I53" s="130"/>
      <c r="J53" s="130">
        <f>+PRESENTACION!L63</f>
        <v>239826560</v>
      </c>
      <c r="K53" s="130"/>
      <c r="L53" s="2">
        <f>+J53-H53</f>
        <v>-149176985</v>
      </c>
      <c r="M53" s="301">
        <f aca="true" t="shared" si="6" ref="M53:M64">+L53/D53</f>
        <v>-0.4227214947280764</v>
      </c>
      <c r="N53" t="s">
        <v>412</v>
      </c>
    </row>
    <row r="54" spans="2:15" ht="15">
      <c r="B54" t="s">
        <v>45</v>
      </c>
      <c r="D54" s="130">
        <f>+PRESENTACION!F65+PRESENTACION!F66+PRESENTACION!F68</f>
        <v>149476464</v>
      </c>
      <c r="E54" s="130"/>
      <c r="F54" s="130">
        <f aca="true" t="shared" si="7" ref="F54:F64">+H54-D54</f>
        <v>-51841909</v>
      </c>
      <c r="H54" s="130">
        <f>+PRESENTACION!J65+PRESENTACION!J66+PRESENTACION!J68</f>
        <v>97634555</v>
      </c>
      <c r="I54" s="130"/>
      <c r="J54" s="130">
        <f>+PRESENTACION!L65+PRESENTACION!L66+PRESENTACION!L68</f>
        <v>179847161</v>
      </c>
      <c r="K54" s="130"/>
      <c r="L54" s="2">
        <f aca="true" t="shared" si="8" ref="L54:L92">+J54-H54</f>
        <v>82212606</v>
      </c>
      <c r="M54" s="301">
        <f t="shared" si="6"/>
        <v>0.5500036848610494</v>
      </c>
      <c r="N54" t="s">
        <v>413</v>
      </c>
      <c r="O54" s="479"/>
    </row>
    <row r="55" spans="2:15" ht="15">
      <c r="B55" t="s">
        <v>46</v>
      </c>
      <c r="D55" s="130">
        <f>+PRESENTACION!F67</f>
        <v>834740911</v>
      </c>
      <c r="E55" s="130"/>
      <c r="F55" s="130">
        <f t="shared" si="7"/>
        <v>-72830840</v>
      </c>
      <c r="H55" s="130">
        <f>+PRESENTACION!J67</f>
        <v>761910071</v>
      </c>
      <c r="I55" s="130"/>
      <c r="J55" s="130">
        <f>+PRESENTACION!L67</f>
        <v>691522873</v>
      </c>
      <c r="K55" s="130"/>
      <c r="L55" s="2">
        <f t="shared" si="8"/>
        <v>-70387198</v>
      </c>
      <c r="M55" s="301">
        <f t="shared" si="6"/>
        <v>-0.08432220952927513</v>
      </c>
      <c r="N55" t="s">
        <v>413</v>
      </c>
      <c r="O55" s="479"/>
    </row>
    <row r="56" spans="2:14" ht="15">
      <c r="B56" t="s">
        <v>47</v>
      </c>
      <c r="D56" s="130">
        <f>+PRESENTACION!F69</f>
        <v>4173533</v>
      </c>
      <c r="E56" s="6"/>
      <c r="F56" s="130">
        <f t="shared" si="7"/>
        <v>-383840</v>
      </c>
      <c r="H56" s="130">
        <f>+PRESENTACION!J69</f>
        <v>3789693</v>
      </c>
      <c r="I56" s="130"/>
      <c r="J56" s="130">
        <f>+PRESENTACION!L69</f>
        <v>2754312</v>
      </c>
      <c r="K56" s="130"/>
      <c r="L56" s="2">
        <f t="shared" si="8"/>
        <v>-1035381</v>
      </c>
      <c r="M56" s="301">
        <f t="shared" si="6"/>
        <v>-0.24808261968936152</v>
      </c>
      <c r="N56" t="s">
        <v>413</v>
      </c>
    </row>
    <row r="57" spans="2:14" ht="15">
      <c r="B57" t="s">
        <v>48</v>
      </c>
      <c r="D57" s="130">
        <f>+PRESENTACION!F71</f>
        <v>8541887</v>
      </c>
      <c r="E57" s="130"/>
      <c r="F57" s="130">
        <f t="shared" si="7"/>
        <v>-125087</v>
      </c>
      <c r="H57" s="130">
        <f>+PRESENTACION!J71</f>
        <v>8416800</v>
      </c>
      <c r="I57" s="130"/>
      <c r="J57" s="130">
        <f>+PRESENTACION!L71</f>
        <v>10074300</v>
      </c>
      <c r="K57" s="130"/>
      <c r="L57" s="2">
        <f t="shared" si="8"/>
        <v>1657500</v>
      </c>
      <c r="M57" s="301">
        <f t="shared" si="6"/>
        <v>0.19404377510496218</v>
      </c>
      <c r="N57" t="s">
        <v>413</v>
      </c>
    </row>
    <row r="58" spans="2:13" ht="15">
      <c r="B58" t="s">
        <v>49</v>
      </c>
      <c r="D58" s="130"/>
      <c r="E58" s="11"/>
      <c r="F58" s="130">
        <f t="shared" si="7"/>
        <v>0</v>
      </c>
      <c r="H58" s="130"/>
      <c r="I58" s="130"/>
      <c r="J58" s="130"/>
      <c r="K58" s="130"/>
      <c r="L58" s="2">
        <f t="shared" si="8"/>
        <v>0</v>
      </c>
      <c r="M58" s="301" t="e">
        <f t="shared" si="6"/>
        <v>#DIV/0!</v>
      </c>
    </row>
    <row r="59" spans="2:14" ht="15">
      <c r="B59" t="s">
        <v>50</v>
      </c>
      <c r="D59" s="130"/>
      <c r="E59" s="11"/>
      <c r="F59" s="130">
        <f t="shared" si="7"/>
        <v>0</v>
      </c>
      <c r="H59" s="130"/>
      <c r="I59" s="130"/>
      <c r="J59" s="130"/>
      <c r="K59" s="130"/>
      <c r="L59" s="2">
        <f t="shared" si="8"/>
        <v>0</v>
      </c>
      <c r="M59" s="301" t="e">
        <f t="shared" si="6"/>
        <v>#DIV/0!</v>
      </c>
      <c r="N59" t="s">
        <v>412</v>
      </c>
    </row>
    <row r="60" spans="2:19" ht="15">
      <c r="B60" t="s">
        <v>51</v>
      </c>
      <c r="D60" s="130">
        <f>+PRESENTACION!F70</f>
        <v>9272005</v>
      </c>
      <c r="E60" s="130"/>
      <c r="F60" s="130">
        <f t="shared" si="7"/>
        <v>-9256005</v>
      </c>
      <c r="H60" s="130">
        <f>+PRESENTACION!J70</f>
        <v>16000</v>
      </c>
      <c r="I60" s="130"/>
      <c r="J60" s="130">
        <f>+PRESENTACION!L70</f>
        <v>578412</v>
      </c>
      <c r="K60" s="130"/>
      <c r="L60" s="2">
        <f t="shared" si="8"/>
        <v>562412</v>
      </c>
      <c r="M60" s="301"/>
      <c r="N60" t="s">
        <v>413</v>
      </c>
      <c r="S60" s="14">
        <f>+L56+L60</f>
        <v>-472969</v>
      </c>
    </row>
    <row r="61" spans="2:13" ht="15">
      <c r="B61" t="s">
        <v>52</v>
      </c>
      <c r="D61" s="130"/>
      <c r="E61" s="130"/>
      <c r="F61" s="130">
        <f t="shared" si="7"/>
        <v>0</v>
      </c>
      <c r="H61" s="130"/>
      <c r="I61" s="130"/>
      <c r="J61" s="130"/>
      <c r="K61" s="130"/>
      <c r="L61" s="2">
        <f t="shared" si="8"/>
        <v>0</v>
      </c>
      <c r="M61" s="301" t="e">
        <f t="shared" si="6"/>
        <v>#DIV/0!</v>
      </c>
    </row>
    <row r="62" spans="2:13" ht="15">
      <c r="B62" t="s">
        <v>53</v>
      </c>
      <c r="D62" s="130"/>
      <c r="E62" s="130"/>
      <c r="F62" s="130">
        <f t="shared" si="7"/>
        <v>0</v>
      </c>
      <c r="H62" s="130"/>
      <c r="I62" s="130"/>
      <c r="J62" s="130"/>
      <c r="K62" s="130"/>
      <c r="L62" s="2">
        <f t="shared" si="8"/>
        <v>0</v>
      </c>
      <c r="M62" s="301" t="e">
        <f t="shared" si="6"/>
        <v>#DIV/0!</v>
      </c>
    </row>
    <row r="63" spans="2:14" ht="15">
      <c r="B63" t="s">
        <v>54</v>
      </c>
      <c r="D63" s="130">
        <f>+PRESENTACION!F75</f>
        <v>8057172</v>
      </c>
      <c r="E63" s="130"/>
      <c r="F63" s="130">
        <f t="shared" si="7"/>
        <v>7876095</v>
      </c>
      <c r="H63" s="130">
        <f>+PRESENTACION!J75</f>
        <v>15933267</v>
      </c>
      <c r="I63" s="130"/>
      <c r="J63" s="130">
        <f>+PRESENTACION!L75</f>
        <v>25536565.67</v>
      </c>
      <c r="K63" s="130"/>
      <c r="L63" s="2">
        <f t="shared" si="8"/>
        <v>9603298.670000002</v>
      </c>
      <c r="M63" s="301">
        <f t="shared" si="6"/>
        <v>1.1918944599916697</v>
      </c>
      <c r="N63" t="s">
        <v>412</v>
      </c>
    </row>
    <row r="64" spans="2:14" ht="15">
      <c r="B64" t="s">
        <v>55</v>
      </c>
      <c r="D64" s="130">
        <f>+PRESENTACION!F76</f>
        <v>17302458</v>
      </c>
      <c r="E64" s="130"/>
      <c r="F64" s="130">
        <f t="shared" si="7"/>
        <v>6351633</v>
      </c>
      <c r="H64" s="130">
        <f>+PRESENTACION!J76</f>
        <v>23654091</v>
      </c>
      <c r="I64" s="130"/>
      <c r="J64" s="130">
        <f>+PRESENTACION!L76</f>
        <v>89399848.88</v>
      </c>
      <c r="K64" s="130"/>
      <c r="L64" s="2">
        <f t="shared" si="8"/>
        <v>65745757.879999995</v>
      </c>
      <c r="M64" s="301">
        <f t="shared" si="6"/>
        <v>3.7997929473373087</v>
      </c>
      <c r="N64" t="s">
        <v>412</v>
      </c>
    </row>
    <row r="65" ht="15">
      <c r="L65" s="2">
        <f t="shared" si="8"/>
        <v>0</v>
      </c>
    </row>
    <row r="66" spans="2:12" ht="15">
      <c r="B66" t="s">
        <v>56</v>
      </c>
      <c r="L66" s="2">
        <f t="shared" si="8"/>
        <v>0</v>
      </c>
    </row>
    <row r="67" spans="2:12" ht="15">
      <c r="B67" t="s">
        <v>57</v>
      </c>
      <c r="L67" s="2">
        <f t="shared" si="8"/>
        <v>0</v>
      </c>
    </row>
    <row r="68" spans="2:13" ht="15">
      <c r="B68" t="s">
        <v>58</v>
      </c>
      <c r="D68" s="130"/>
      <c r="E68" s="130"/>
      <c r="F68" s="130">
        <f aca="true" t="shared" si="9" ref="F68:F92">+H68-D68</f>
        <v>0</v>
      </c>
      <c r="H68" s="130"/>
      <c r="I68" s="130"/>
      <c r="J68" s="130"/>
      <c r="K68" s="130"/>
      <c r="L68" s="2">
        <f t="shared" si="8"/>
        <v>0</v>
      </c>
      <c r="M68" s="301" t="e">
        <f>+L68/D68</f>
        <v>#DIV/0!</v>
      </c>
    </row>
    <row r="69" spans="2:14" ht="15">
      <c r="B69" t="s">
        <v>59</v>
      </c>
      <c r="D69" s="130">
        <f>+PRESENTACION!F79</f>
        <v>0</v>
      </c>
      <c r="E69" s="130"/>
      <c r="F69" s="130">
        <f t="shared" si="9"/>
        <v>52066727</v>
      </c>
      <c r="H69" s="130">
        <f>+PRESENTACION!J79</f>
        <v>52066727</v>
      </c>
      <c r="I69" s="130"/>
      <c r="J69" s="130">
        <f>+PRESENTACION!L79</f>
        <v>0</v>
      </c>
      <c r="K69" s="130"/>
      <c r="L69" s="2">
        <f t="shared" si="8"/>
        <v>-52066727</v>
      </c>
      <c r="M69" s="301" t="e">
        <f>+L69/D69</f>
        <v>#DIV/0!</v>
      </c>
      <c r="N69" t="s">
        <v>412</v>
      </c>
    </row>
    <row r="70" spans="2:13" ht="15">
      <c r="B70" t="s">
        <v>60</v>
      </c>
      <c r="D70" s="130"/>
      <c r="E70" s="130"/>
      <c r="F70" s="130">
        <f t="shared" si="9"/>
        <v>0</v>
      </c>
      <c r="H70" s="130"/>
      <c r="I70" s="130"/>
      <c r="J70" s="130"/>
      <c r="K70" s="130"/>
      <c r="L70" s="2">
        <f t="shared" si="8"/>
        <v>0</v>
      </c>
      <c r="M70" s="301" t="e">
        <f>+L70/D70</f>
        <v>#DIV/0!</v>
      </c>
    </row>
    <row r="71" spans="2:14" ht="15">
      <c r="B71" t="s">
        <v>61</v>
      </c>
      <c r="D71" s="130">
        <f>+PRESENTACION!F78</f>
        <v>23917884</v>
      </c>
      <c r="E71" s="130"/>
      <c r="F71" s="130">
        <f t="shared" si="9"/>
        <v>2316944</v>
      </c>
      <c r="H71" s="130">
        <f>+PRESENTACION!J78</f>
        <v>26234828</v>
      </c>
      <c r="I71" s="130"/>
      <c r="J71" s="130">
        <f>+PRESENTACION!L78</f>
        <v>27380062</v>
      </c>
      <c r="K71" s="130"/>
      <c r="L71" s="2">
        <f t="shared" si="8"/>
        <v>1145234</v>
      </c>
      <c r="M71" s="301">
        <f>+L71/D71</f>
        <v>0.047881911292821724</v>
      </c>
      <c r="N71" t="s">
        <v>412</v>
      </c>
    </row>
    <row r="72" spans="2:14" ht="15">
      <c r="B72" t="s">
        <v>62</v>
      </c>
      <c r="D72" s="130">
        <f>+PRESENTACION!F81+PRESENTACION!F82</f>
        <v>82362650</v>
      </c>
      <c r="E72" s="130"/>
      <c r="F72" s="130">
        <f t="shared" si="9"/>
        <v>-70261290</v>
      </c>
      <c r="H72" s="130">
        <f>+PRESENTACION!J81+PRESENTACION!J82</f>
        <v>12101360</v>
      </c>
      <c r="I72" s="130"/>
      <c r="J72" s="130">
        <f>+PRESENTACION!L81+PRESENTACION!L82</f>
        <v>0</v>
      </c>
      <c r="K72" s="130"/>
      <c r="L72" s="2">
        <f t="shared" si="8"/>
        <v>-12101360</v>
      </c>
      <c r="M72" s="301">
        <f>+L72/D72</f>
        <v>-0.14692776398039645</v>
      </c>
      <c r="N72" t="s">
        <v>413</v>
      </c>
    </row>
    <row r="73" spans="4:12" ht="15">
      <c r="D73" s="130"/>
      <c r="E73" s="130"/>
      <c r="F73" s="130">
        <f t="shared" si="9"/>
        <v>0</v>
      </c>
      <c r="H73" s="130"/>
      <c r="I73" s="130"/>
      <c r="J73" s="130"/>
      <c r="K73" s="130"/>
      <c r="L73" s="2">
        <f t="shared" si="8"/>
        <v>0</v>
      </c>
    </row>
    <row r="74" spans="2:12" ht="15">
      <c r="B74" s="9" t="s">
        <v>63</v>
      </c>
      <c r="C74" s="9"/>
      <c r="D74" s="10">
        <f>SUM(D53:D72)</f>
        <v>1490741580</v>
      </c>
      <c r="E74" s="10"/>
      <c r="F74" s="130">
        <f t="shared" si="9"/>
        <v>-99980643</v>
      </c>
      <c r="G74" s="10"/>
      <c r="H74" s="10">
        <f>SUM(H53:H72)</f>
        <v>1390760937</v>
      </c>
      <c r="I74" s="10">
        <f>SUM(I53:I72)</f>
        <v>0</v>
      </c>
      <c r="J74" s="10">
        <f>SUM(J53:J72)</f>
        <v>1266920094.5500002</v>
      </c>
      <c r="K74" s="10"/>
      <c r="L74" s="2">
        <f t="shared" si="8"/>
        <v>-123840842.44999981</v>
      </c>
    </row>
    <row r="75" spans="6:12" ht="15">
      <c r="F75" s="130">
        <f t="shared" si="9"/>
        <v>0</v>
      </c>
      <c r="L75" s="2">
        <f t="shared" si="8"/>
        <v>0</v>
      </c>
    </row>
    <row r="76" spans="2:12" ht="15">
      <c r="B76" t="s">
        <v>64</v>
      </c>
      <c r="F76" s="130">
        <f t="shared" si="9"/>
        <v>0</v>
      </c>
      <c r="L76" s="2">
        <f t="shared" si="8"/>
        <v>0</v>
      </c>
    </row>
    <row r="77" spans="2:13" ht="15">
      <c r="B77" t="s">
        <v>65</v>
      </c>
      <c r="D77" s="130">
        <f>+PRESENTACION!F91</f>
        <v>381290478</v>
      </c>
      <c r="E77" s="130"/>
      <c r="F77" s="130">
        <f t="shared" si="9"/>
        <v>17351984.810000002</v>
      </c>
      <c r="H77" s="130">
        <f>+PRESENTACION!J91</f>
        <v>398642462.81</v>
      </c>
      <c r="I77" s="130"/>
      <c r="J77" s="130">
        <f>+PRESENTACION!L91</f>
        <v>398219652</v>
      </c>
      <c r="K77" s="130"/>
      <c r="L77" s="2">
        <f t="shared" si="8"/>
        <v>-422810.8100000024</v>
      </c>
      <c r="M77" s="301">
        <f>+L77/D77</f>
        <v>-0.0011088942273559802</v>
      </c>
    </row>
    <row r="78" spans="2:13" ht="15">
      <c r="B78" t="s">
        <v>66</v>
      </c>
      <c r="F78" s="130">
        <f t="shared" si="9"/>
        <v>0</v>
      </c>
      <c r="L78" s="2">
        <f t="shared" si="8"/>
        <v>0</v>
      </c>
      <c r="M78" s="301" t="e">
        <f aca="true" t="shared" si="10" ref="M78:M87">+L78/D78</f>
        <v>#DIV/0!</v>
      </c>
    </row>
    <row r="79" spans="2:13" ht="15">
      <c r="B79" t="s">
        <v>67</v>
      </c>
      <c r="D79" s="130">
        <f>+PRESENTACION!F93</f>
        <v>151864711</v>
      </c>
      <c r="E79" s="130"/>
      <c r="F79" s="130">
        <f t="shared" si="9"/>
        <v>0</v>
      </c>
      <c r="H79" s="130">
        <f>+PRESENTACION!J93</f>
        <v>151864711</v>
      </c>
      <c r="I79" s="130"/>
      <c r="J79" s="130">
        <f>+PRESENTACION!L93</f>
        <v>151864711</v>
      </c>
      <c r="K79" s="130"/>
      <c r="L79" s="2">
        <f t="shared" si="8"/>
        <v>0</v>
      </c>
      <c r="M79" s="301">
        <f t="shared" si="10"/>
        <v>0</v>
      </c>
    </row>
    <row r="80" spans="2:13" ht="15">
      <c r="B80" t="s">
        <v>68</v>
      </c>
      <c r="D80" s="130">
        <f>+PRESENTACION!F95</f>
        <v>378056300</v>
      </c>
      <c r="E80" s="130"/>
      <c r="F80" s="130">
        <f t="shared" si="9"/>
        <v>0</v>
      </c>
      <c r="H80" s="130">
        <f>+PRESENTACION!J95</f>
        <v>378056300</v>
      </c>
      <c r="I80" s="130"/>
      <c r="J80" s="130">
        <f>+PRESENTACION!L95</f>
        <v>378056300</v>
      </c>
      <c r="K80" s="130"/>
      <c r="L80" s="2">
        <f t="shared" si="8"/>
        <v>0</v>
      </c>
      <c r="M80" s="301">
        <f t="shared" si="10"/>
        <v>0</v>
      </c>
    </row>
    <row r="81" spans="2:13" ht="15">
      <c r="B81" t="s">
        <v>69</v>
      </c>
      <c r="D81" s="130">
        <f>+PRESENTACION!F96</f>
        <v>88573421</v>
      </c>
      <c r="E81" s="130"/>
      <c r="F81" s="130">
        <f t="shared" si="9"/>
        <v>0</v>
      </c>
      <c r="H81" s="130">
        <f>+PRESENTACION!J96</f>
        <v>88573421</v>
      </c>
      <c r="I81" s="130"/>
      <c r="J81" s="130">
        <f>+PRESENTACION!L96</f>
        <v>88573422</v>
      </c>
      <c r="K81" s="130"/>
      <c r="L81" s="2">
        <f t="shared" si="8"/>
        <v>1</v>
      </c>
      <c r="M81" s="301">
        <f t="shared" si="10"/>
        <v>1.129006860873083E-08</v>
      </c>
    </row>
    <row r="82" spans="2:13" ht="15">
      <c r="B82" t="s">
        <v>70</v>
      </c>
      <c r="D82" s="130">
        <f>+PRESENTACION!F97</f>
        <v>10562811</v>
      </c>
      <c r="E82" s="130"/>
      <c r="F82" s="130">
        <f t="shared" si="9"/>
        <v>0</v>
      </c>
      <c r="H82" s="130">
        <f>+PRESENTACION!J97</f>
        <v>10562811</v>
      </c>
      <c r="I82" s="130"/>
      <c r="J82" s="130">
        <f>+PRESENTACION!L97</f>
        <v>10562811</v>
      </c>
      <c r="K82" s="130"/>
      <c r="L82" s="2">
        <f t="shared" si="8"/>
        <v>0</v>
      </c>
      <c r="M82" s="301">
        <f t="shared" si="10"/>
        <v>0</v>
      </c>
    </row>
    <row r="83" spans="2:15" ht="15">
      <c r="B83" t="s">
        <v>71</v>
      </c>
      <c r="D83" s="130">
        <f>+PRESENTACION!F98</f>
        <v>127455053</v>
      </c>
      <c r="E83" s="11"/>
      <c r="F83" s="130">
        <f t="shared" si="9"/>
        <v>0</v>
      </c>
      <c r="H83" s="130">
        <f>+PRESENTACION!J98</f>
        <v>127455053</v>
      </c>
      <c r="I83" s="11"/>
      <c r="J83" s="130">
        <f>+PRESENTACION!L98</f>
        <v>127455053</v>
      </c>
      <c r="K83" s="130"/>
      <c r="L83" s="2">
        <f t="shared" si="8"/>
        <v>0</v>
      </c>
      <c r="M83" s="301">
        <f t="shared" si="10"/>
        <v>0</v>
      </c>
      <c r="O83" s="5"/>
    </row>
    <row r="84" spans="2:13" ht="15">
      <c r="B84" t="s">
        <v>72</v>
      </c>
      <c r="D84" s="130">
        <f>+PRESENTACION!F100</f>
        <v>4285400</v>
      </c>
      <c r="E84" s="130"/>
      <c r="F84" s="130">
        <f t="shared" si="9"/>
        <v>0</v>
      </c>
      <c r="H84" s="130">
        <f>+PRESENTACION!J100</f>
        <v>4285400</v>
      </c>
      <c r="I84" s="130"/>
      <c r="J84" s="130">
        <f>+PRESENTACION!L100</f>
        <v>4285400</v>
      </c>
      <c r="K84" s="130"/>
      <c r="L84" s="2">
        <f t="shared" si="8"/>
        <v>0</v>
      </c>
      <c r="M84" s="301">
        <f t="shared" si="10"/>
        <v>0</v>
      </c>
    </row>
    <row r="85" spans="2:13" ht="15">
      <c r="B85" t="s">
        <v>39</v>
      </c>
      <c r="D85" s="130">
        <f>+PRESENTACION!F101</f>
        <v>0</v>
      </c>
      <c r="E85" s="130"/>
      <c r="F85" s="130">
        <f t="shared" si="9"/>
        <v>0</v>
      </c>
      <c r="H85" s="130">
        <f>+PRESENTACION!J101</f>
        <v>0</v>
      </c>
      <c r="I85" s="130"/>
      <c r="J85" s="130">
        <f>+PRESENTACION!L101</f>
        <v>0</v>
      </c>
      <c r="K85" s="130"/>
      <c r="L85" s="2">
        <f t="shared" si="8"/>
        <v>0</v>
      </c>
      <c r="M85" s="301" t="e">
        <f t="shared" si="10"/>
        <v>#DIV/0!</v>
      </c>
    </row>
    <row r="86" spans="2:13" ht="15">
      <c r="B86" t="s">
        <v>73</v>
      </c>
      <c r="D86" s="12">
        <f>+PRESENTACION!F104</f>
        <v>-178769845</v>
      </c>
      <c r="E86" s="130"/>
      <c r="F86" s="130">
        <f t="shared" si="9"/>
        <v>-454726097</v>
      </c>
      <c r="H86" s="12">
        <f>+PRESENTACION!J104</f>
        <v>-633495942</v>
      </c>
      <c r="I86" s="12"/>
      <c r="J86" s="12">
        <f>+PRESENTACION!L104</f>
        <v>-585930194.21</v>
      </c>
      <c r="K86" s="130"/>
      <c r="L86" s="2">
        <f t="shared" si="8"/>
        <v>47565747.78999996</v>
      </c>
      <c r="M86" s="301">
        <f t="shared" si="10"/>
        <v>-0.2660725459039245</v>
      </c>
    </row>
    <row r="87" spans="2:13" ht="15">
      <c r="B87" t="s">
        <v>74</v>
      </c>
      <c r="D87" s="12">
        <f>+PRESENTACION!F103</f>
        <v>-454726097</v>
      </c>
      <c r="E87" s="12"/>
      <c r="F87" s="130">
        <f t="shared" si="9"/>
        <v>502291834.49</v>
      </c>
      <c r="H87" s="12">
        <f>+PRESENTACION!J103</f>
        <v>47565737.49</v>
      </c>
      <c r="I87" s="12"/>
      <c r="J87" s="12">
        <f>+PRESENTACION!L103</f>
        <v>35843563.25999963</v>
      </c>
      <c r="K87" s="12"/>
      <c r="L87" s="2">
        <f t="shared" si="8"/>
        <v>-11722174.23000037</v>
      </c>
      <c r="M87" s="301">
        <f t="shared" si="10"/>
        <v>0.02577853856934094</v>
      </c>
    </row>
    <row r="88" spans="2:13" ht="15">
      <c r="B88" t="str">
        <f>+PRESENTACION!G106</f>
        <v>AJUSTES DE ADOPCIÓN POR PRIMERA VEZ</v>
      </c>
      <c r="D88" s="12">
        <f>+PRESENTACION!F106</f>
        <v>606524919.899125</v>
      </c>
      <c r="E88" s="12"/>
      <c r="F88" s="130">
        <f t="shared" si="9"/>
        <v>0.0008749961853027344</v>
      </c>
      <c r="H88" s="12">
        <f>+PRESENTACION!J106</f>
        <v>606524919.9</v>
      </c>
      <c r="I88" s="12"/>
      <c r="J88" s="12">
        <f>+PRESENTACION!L106</f>
        <v>606524919.9</v>
      </c>
      <c r="K88" s="12"/>
      <c r="M88" s="301"/>
    </row>
    <row r="89" spans="6:12" ht="15">
      <c r="F89" s="130">
        <f t="shared" si="9"/>
        <v>0</v>
      </c>
      <c r="L89" s="2">
        <f t="shared" si="8"/>
        <v>0</v>
      </c>
    </row>
    <row r="90" spans="2:12" ht="15">
      <c r="B90" t="s">
        <v>75</v>
      </c>
      <c r="D90" s="10">
        <f>SUM(D77:D89)</f>
        <v>1115117151.899125</v>
      </c>
      <c r="E90" s="10"/>
      <c r="F90" s="130">
        <f t="shared" si="9"/>
        <v>64917722.30087471</v>
      </c>
      <c r="G90" s="10"/>
      <c r="H90" s="10">
        <f>SUM(H77:H89)</f>
        <v>1180034874.1999998</v>
      </c>
      <c r="I90" s="10">
        <f>SUM(I77:I89)</f>
        <v>0</v>
      </c>
      <c r="J90" s="10">
        <f>SUM(J77:J89)</f>
        <v>1215455637.9499996</v>
      </c>
      <c r="K90" s="10"/>
      <c r="L90" s="2">
        <f t="shared" si="8"/>
        <v>35420763.74999976</v>
      </c>
    </row>
    <row r="91" spans="6:12" ht="15">
      <c r="F91" s="130">
        <f t="shared" si="9"/>
        <v>0</v>
      </c>
      <c r="L91" s="2">
        <f t="shared" si="8"/>
        <v>0</v>
      </c>
    </row>
    <row r="92" spans="2:13" ht="15">
      <c r="B92" t="s">
        <v>76</v>
      </c>
      <c r="D92" s="10">
        <f>+D74+D90</f>
        <v>2605858731.899125</v>
      </c>
      <c r="E92" s="10"/>
      <c r="F92" s="130">
        <f t="shared" si="9"/>
        <v>-35062920.69912529</v>
      </c>
      <c r="G92" s="10"/>
      <c r="H92" s="10">
        <f>+H74+H90</f>
        <v>2570795811.2</v>
      </c>
      <c r="I92" s="10">
        <f>+I74+I90</f>
        <v>0</v>
      </c>
      <c r="J92" s="10">
        <f>+J74+J90</f>
        <v>2482375732.5</v>
      </c>
      <c r="K92" s="10"/>
      <c r="L92" s="2">
        <f t="shared" si="8"/>
        <v>-88420078.69999981</v>
      </c>
      <c r="M92" s="13"/>
    </row>
    <row r="94" spans="4:10" ht="15">
      <c r="D94" s="12">
        <f>+D92-D48</f>
        <v>-0.0008749961853027344</v>
      </c>
      <c r="E94" s="12"/>
      <c r="F94" s="12"/>
      <c r="H94" s="12"/>
      <c r="I94" s="12"/>
      <c r="J94" s="12"/>
    </row>
    <row r="97" spans="4:10" ht="15">
      <c r="D97" s="14"/>
      <c r="E97" s="14"/>
      <c r="F97" s="14"/>
      <c r="H97" s="14"/>
      <c r="I97" s="14"/>
      <c r="J97" s="14"/>
    </row>
    <row r="98" spans="4:10" ht="15">
      <c r="D98" s="14"/>
      <c r="E98" s="14"/>
      <c r="F98" s="14"/>
      <c r="H98" s="14"/>
      <c r="I98" s="14"/>
      <c r="J98" s="14"/>
    </row>
    <row r="99" spans="4:10" ht="15">
      <c r="D99" s="14"/>
      <c r="E99" s="14"/>
      <c r="F99" s="14"/>
      <c r="H99" s="14"/>
      <c r="I99" s="14"/>
      <c r="J99" s="14"/>
    </row>
  </sheetData>
  <sheetProtection/>
  <mergeCells count="1">
    <mergeCell ref="O54:O5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5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111"/>
  <sheetViews>
    <sheetView view="pageBreakPreview" zoomScale="60" zoomScaleNormal="80" zoomScalePageLayoutView="0" workbookViewId="0" topLeftCell="A61">
      <selection activeCell="L53" sqref="L53"/>
    </sheetView>
  </sheetViews>
  <sheetFormatPr defaultColWidth="11.421875" defaultRowHeight="15"/>
  <cols>
    <col min="1" max="1" width="3.7109375" style="263" customWidth="1"/>
    <col min="2" max="2" width="44.00390625" style="263" bestFit="1" customWidth="1"/>
    <col min="3" max="3" width="26.140625" style="273" bestFit="1" customWidth="1"/>
    <col min="4" max="4" width="2.28125" style="263" customWidth="1"/>
    <col min="5" max="5" width="3.8515625" style="263" customWidth="1"/>
    <col min="6" max="6" width="25.421875" style="273" bestFit="1" customWidth="1"/>
    <col min="7" max="7" width="50.28125" style="267" bestFit="1" customWidth="1"/>
    <col min="8" max="9" width="4.28125" style="263" customWidth="1"/>
    <col min="10" max="10" width="22.28125" style="263" bestFit="1" customWidth="1"/>
    <col min="11" max="11" width="14.140625" style="263" bestFit="1" customWidth="1"/>
    <col min="12" max="12" width="25.421875" style="264" bestFit="1" customWidth="1"/>
    <col min="13" max="13" width="16.7109375" style="263" bestFit="1" customWidth="1"/>
    <col min="14" max="15" width="15.57421875" style="263" bestFit="1" customWidth="1"/>
    <col min="16" max="16" width="11.421875" style="263" customWidth="1"/>
    <col min="17" max="17" width="13.421875" style="264" bestFit="1" customWidth="1"/>
    <col min="18" max="16384" width="11.421875" style="263" customWidth="1"/>
  </cols>
  <sheetData>
    <row r="1" spans="1:9" ht="15">
      <c r="A1" s="486" t="s">
        <v>91</v>
      </c>
      <c r="B1" s="486"/>
      <c r="C1" s="486"/>
      <c r="D1" s="486"/>
      <c r="E1" s="486"/>
      <c r="F1" s="486"/>
      <c r="G1" s="486"/>
      <c r="H1" s="262"/>
      <c r="I1" s="262"/>
    </row>
    <row r="2" spans="1:9" ht="15">
      <c r="A2" s="486" t="s">
        <v>465</v>
      </c>
      <c r="B2" s="486"/>
      <c r="C2" s="486"/>
      <c r="D2" s="486"/>
      <c r="E2" s="486"/>
      <c r="F2" s="486"/>
      <c r="G2" s="486"/>
      <c r="H2" s="262"/>
      <c r="I2" s="262"/>
    </row>
    <row r="3" spans="1:9" ht="15">
      <c r="A3" s="486" t="s">
        <v>466</v>
      </c>
      <c r="B3" s="486"/>
      <c r="C3" s="486"/>
      <c r="D3" s="486"/>
      <c r="E3" s="486"/>
      <c r="F3" s="486"/>
      <c r="G3" s="486"/>
      <c r="H3" s="262"/>
      <c r="I3" s="262"/>
    </row>
    <row r="4" spans="1:9" ht="15">
      <c r="A4" s="262"/>
      <c r="B4" s="262"/>
      <c r="C4" s="262"/>
      <c r="D4" s="262"/>
      <c r="E4" s="262"/>
      <c r="F4" s="262"/>
      <c r="G4" s="265"/>
      <c r="H4" s="262"/>
      <c r="I4" s="262"/>
    </row>
    <row r="5" spans="3:12" ht="15">
      <c r="C5" s="266">
        <v>42004</v>
      </c>
      <c r="F5" s="266">
        <v>42339</v>
      </c>
      <c r="J5" s="268">
        <v>42369</v>
      </c>
      <c r="L5" s="268">
        <v>42735</v>
      </c>
    </row>
    <row r="6" spans="1:10" ht="15">
      <c r="A6" s="486" t="s">
        <v>467</v>
      </c>
      <c r="B6" s="486"/>
      <c r="C6" s="269" t="s">
        <v>468</v>
      </c>
      <c r="F6" s="269" t="s">
        <v>469</v>
      </c>
      <c r="G6" s="265" t="s">
        <v>467</v>
      </c>
      <c r="H6" s="270"/>
      <c r="I6" s="270"/>
      <c r="J6" s="270"/>
    </row>
    <row r="7" spans="1:10" ht="15">
      <c r="A7" s="486" t="s">
        <v>470</v>
      </c>
      <c r="B7" s="486"/>
      <c r="C7" s="269"/>
      <c r="F7" s="269"/>
      <c r="G7" s="265" t="s">
        <v>470</v>
      </c>
      <c r="H7" s="262"/>
      <c r="I7" s="262"/>
      <c r="J7" s="271"/>
    </row>
    <row r="8" spans="1:10" ht="15">
      <c r="A8" s="272" t="s">
        <v>77</v>
      </c>
      <c r="B8" s="272"/>
      <c r="G8" s="265" t="s">
        <v>471</v>
      </c>
      <c r="H8" s="270"/>
      <c r="I8" s="270"/>
      <c r="J8" s="271"/>
    </row>
    <row r="9" spans="2:12" ht="15">
      <c r="B9" s="263" t="s">
        <v>2</v>
      </c>
      <c r="C9" s="274">
        <f>SUM('[6]HT'!H3:H8)</f>
        <v>15893132</v>
      </c>
      <c r="D9" s="275"/>
      <c r="E9" s="275"/>
      <c r="F9" s="274">
        <f>SUM('[6]HT'!N3:N8)</f>
        <v>15893132</v>
      </c>
      <c r="G9" s="267" t="s">
        <v>472</v>
      </c>
      <c r="J9" s="264">
        <v>30448134</v>
      </c>
      <c r="L9" s="264">
        <v>19241044</v>
      </c>
    </row>
    <row r="10" spans="2:12" ht="15">
      <c r="B10" s="263" t="s">
        <v>473</v>
      </c>
      <c r="C10" s="274">
        <f>SUM('[6]HT'!H9:H18)</f>
        <v>121528328</v>
      </c>
      <c r="D10" s="275"/>
      <c r="E10" s="275"/>
      <c r="F10" s="274">
        <f>SUM('[6]HT'!N9:N18)</f>
        <v>53301353</v>
      </c>
      <c r="G10" s="267" t="s">
        <v>473</v>
      </c>
      <c r="J10" s="264">
        <v>79335270</v>
      </c>
      <c r="L10" s="264">
        <v>142013747.69</v>
      </c>
    </row>
    <row r="11" spans="2:12" ht="15">
      <c r="B11" s="263" t="s">
        <v>474</v>
      </c>
      <c r="C11" s="274">
        <f>SUM('[6]HT'!H19:H33)</f>
        <v>216678297</v>
      </c>
      <c r="D11" s="275"/>
      <c r="E11" s="275"/>
      <c r="F11" s="274">
        <f>SUM('[6]HT'!N19:N33)</f>
        <v>288927438</v>
      </c>
      <c r="G11" s="267" t="s">
        <v>475</v>
      </c>
      <c r="J11" s="264">
        <v>360329912</v>
      </c>
      <c r="L11" s="264">
        <v>334145447.55</v>
      </c>
    </row>
    <row r="12" spans="1:10" ht="15">
      <c r="A12" s="272" t="s">
        <v>87</v>
      </c>
      <c r="C12" s="274"/>
      <c r="D12" s="275"/>
      <c r="E12" s="275"/>
      <c r="F12" s="274"/>
      <c r="G12" s="265" t="str">
        <f>+A12</f>
        <v>INVERSIONES</v>
      </c>
      <c r="H12" s="270"/>
      <c r="I12" s="270"/>
      <c r="J12" s="271"/>
    </row>
    <row r="13" spans="2:12" ht="15">
      <c r="B13" s="263" t="s">
        <v>476</v>
      </c>
      <c r="C13" s="274">
        <f>+'[6]HT'!H34</f>
        <v>1100000</v>
      </c>
      <c r="D13" s="275"/>
      <c r="E13" s="275"/>
      <c r="F13" s="274">
        <f>+'[6]HT'!N34</f>
        <v>1143324</v>
      </c>
      <c r="G13" s="267" t="str">
        <f>+B13</f>
        <v>INVERSIONES -CDT</v>
      </c>
      <c r="J13" s="264">
        <v>1143324</v>
      </c>
      <c r="L13" s="264">
        <v>0</v>
      </c>
    </row>
    <row r="14" spans="1:10" ht="15">
      <c r="A14" s="272" t="s">
        <v>78</v>
      </c>
      <c r="C14" s="274"/>
      <c r="D14" s="275"/>
      <c r="E14" s="275"/>
      <c r="F14" s="274"/>
      <c r="G14" s="265" t="str">
        <f>+A14</f>
        <v>INVENTARIOS</v>
      </c>
      <c r="H14" s="270"/>
      <c r="I14" s="270"/>
      <c r="J14" s="271"/>
    </row>
    <row r="15" spans="2:12" ht="15">
      <c r="B15" s="263" t="s">
        <v>183</v>
      </c>
      <c r="C15" s="274">
        <f>SUM('[6]HT'!H35:H56)</f>
        <v>319514342</v>
      </c>
      <c r="D15" s="275"/>
      <c r="E15" s="275"/>
      <c r="F15" s="274">
        <f>SUM('[6]HT'!N35:N56)</f>
        <v>319514342</v>
      </c>
      <c r="G15" s="267" t="str">
        <f>+B15</f>
        <v>CAFÉ</v>
      </c>
      <c r="J15" s="264">
        <v>220319979</v>
      </c>
      <c r="L15" s="264">
        <v>139867764</v>
      </c>
    </row>
    <row r="16" spans="2:12" ht="15">
      <c r="B16" s="263" t="s">
        <v>477</v>
      </c>
      <c r="C16" s="274">
        <f>SUM('[6]HT'!H57:H61)</f>
        <v>699151042</v>
      </c>
      <c r="D16" s="275"/>
      <c r="E16" s="275"/>
      <c r="F16" s="274">
        <f>SUM('[6]HT'!N57:N61)</f>
        <v>699151042</v>
      </c>
      <c r="G16" s="267" t="str">
        <f>+B16</f>
        <v>AGROINSUMOS</v>
      </c>
      <c r="J16" s="264">
        <v>628738104</v>
      </c>
      <c r="L16" s="264">
        <f>497554028-521526</f>
        <v>497032502</v>
      </c>
    </row>
    <row r="17" spans="2:10" ht="15">
      <c r="B17" s="263" t="s">
        <v>7</v>
      </c>
      <c r="C17" s="274">
        <f>-'[6]HT'!I62</f>
        <v>-11487172</v>
      </c>
      <c r="D17" s="275"/>
      <c r="E17" s="275"/>
      <c r="F17" s="274">
        <f>+'[6]HT'!N62</f>
        <v>0</v>
      </c>
      <c r="G17" s="267" t="str">
        <f>+B17</f>
        <v>PROVISION</v>
      </c>
      <c r="J17" s="264">
        <v>0</v>
      </c>
    </row>
    <row r="18" spans="1:10" ht="15">
      <c r="A18" s="272" t="s">
        <v>478</v>
      </c>
      <c r="B18" s="272"/>
      <c r="C18" s="274"/>
      <c r="D18" s="275"/>
      <c r="E18" s="275"/>
      <c r="F18" s="274"/>
      <c r="G18" s="265" t="s">
        <v>478</v>
      </c>
      <c r="H18" s="272"/>
      <c r="I18" s="272"/>
      <c r="J18" s="264"/>
    </row>
    <row r="19" spans="2:12" ht="15">
      <c r="B19" s="263" t="s">
        <v>479</v>
      </c>
      <c r="C19" s="274">
        <f>SUM('[6]HT'!H64)</f>
        <v>167599802</v>
      </c>
      <c r="D19" s="275"/>
      <c r="E19" s="275"/>
      <c r="F19" s="274">
        <f>SUM('[6]HT'!N64)</f>
        <v>167599802</v>
      </c>
      <c r="G19" s="267" t="str">
        <f>+B19</f>
        <v>CREDITOS FERTILIZANTES ASOCIADOS</v>
      </c>
      <c r="J19" s="264">
        <f>111668975+55146447</f>
        <v>166815422</v>
      </c>
      <c r="K19" s="276"/>
      <c r="L19" s="264">
        <f>61539711+63777109</f>
        <v>125316820</v>
      </c>
    </row>
    <row r="20" spans="2:12" ht="15">
      <c r="B20" s="263" t="s">
        <v>7</v>
      </c>
      <c r="C20" s="274">
        <f>-SUM('[6]HT'!I65:I77)</f>
        <v>-34471448</v>
      </c>
      <c r="D20" s="275"/>
      <c r="E20" s="275"/>
      <c r="F20" s="274">
        <f>SUM('[6]HT'!N65:N77)</f>
        <v>-34471448</v>
      </c>
      <c r="G20" s="267" t="str">
        <f>+B20</f>
        <v>PROVISION</v>
      </c>
      <c r="J20" s="264">
        <f>-28631285-1538353-104428</f>
        <v>-30274066</v>
      </c>
      <c r="L20" s="264">
        <v>-31447229.55</v>
      </c>
    </row>
    <row r="21" spans="1:10" ht="15">
      <c r="A21" s="272" t="s">
        <v>18</v>
      </c>
      <c r="B21" s="272"/>
      <c r="C21" s="274"/>
      <c r="D21" s="275"/>
      <c r="E21" s="275"/>
      <c r="F21" s="274"/>
      <c r="G21" s="265" t="s">
        <v>18</v>
      </c>
      <c r="H21" s="272"/>
      <c r="I21" s="272"/>
      <c r="J21" s="264"/>
    </row>
    <row r="22" spans="2:15" ht="15">
      <c r="B22" s="263" t="s">
        <v>480</v>
      </c>
      <c r="C22" s="274">
        <f>+'[6]HT'!H78</f>
        <v>60510654</v>
      </c>
      <c r="D22" s="275"/>
      <c r="E22" s="275"/>
      <c r="F22" s="274">
        <f>+'[6]HT'!N78</f>
        <v>60510654</v>
      </c>
      <c r="G22" s="267" t="str">
        <f aca="true" t="shared" si="0" ref="G22:G84">+B22</f>
        <v>CREDITOS DE RECOLECCION DE CAFÉ</v>
      </c>
      <c r="J22" s="264">
        <v>128483470</v>
      </c>
      <c r="L22" s="264">
        <v>18617077</v>
      </c>
      <c r="M22" s="276">
        <f>SUM(J22:J31)</f>
        <v>267380895</v>
      </c>
      <c r="O22" s="276">
        <f>SUM(L22:L25)+L27+L28+L29+L31</f>
        <v>160219114</v>
      </c>
    </row>
    <row r="23" spans="2:14" ht="15">
      <c r="B23" s="263" t="s">
        <v>481</v>
      </c>
      <c r="C23" s="274">
        <f>+'[6]HT'!H80</f>
        <v>2100000</v>
      </c>
      <c r="D23" s="275"/>
      <c r="E23" s="275"/>
      <c r="F23" s="274">
        <f>+'[6]HT'!N80</f>
        <v>2100000</v>
      </c>
      <c r="G23" s="267" t="str">
        <f t="shared" si="0"/>
        <v>ANTICIPO A PROVEEDORES</v>
      </c>
      <c r="J23" s="264">
        <v>0</v>
      </c>
      <c r="N23" s="276">
        <f>+M22-O22</f>
        <v>107161781</v>
      </c>
    </row>
    <row r="24" spans="2:10" ht="15">
      <c r="B24" s="263" t="s">
        <v>482</v>
      </c>
      <c r="C24" s="274">
        <f>+'[6]HT'!H81</f>
        <v>465526</v>
      </c>
      <c r="D24" s="275"/>
      <c r="E24" s="275"/>
      <c r="F24" s="274">
        <f>+'[6]HT'!N81</f>
        <v>465526</v>
      </c>
      <c r="G24" s="267" t="str">
        <f t="shared" si="0"/>
        <v>ANTICIPO DE GASTOS DE VIAJES</v>
      </c>
      <c r="J24" s="264">
        <v>0</v>
      </c>
    </row>
    <row r="25" spans="2:12" ht="15">
      <c r="B25" s="263" t="s">
        <v>483</v>
      </c>
      <c r="C25" s="274">
        <f>+'[6]HT'!H82</f>
        <v>24015188</v>
      </c>
      <c r="D25" s="275"/>
      <c r="E25" s="275"/>
      <c r="F25" s="274">
        <f>+'[6]HT'!N82</f>
        <v>24015188</v>
      </c>
      <c r="G25" s="267" t="str">
        <f t="shared" si="0"/>
        <v>PRESTAMOS COLABORADORES </v>
      </c>
      <c r="J25" s="264">
        <v>37523183</v>
      </c>
      <c r="K25" s="276"/>
      <c r="L25" s="264">
        <v>33775839</v>
      </c>
    </row>
    <row r="26" spans="3:12" ht="15">
      <c r="C26" s="274"/>
      <c r="D26" s="275"/>
      <c r="E26" s="275"/>
      <c r="F26" s="274"/>
      <c r="G26" s="267" t="s">
        <v>484</v>
      </c>
      <c r="J26" s="264"/>
      <c r="K26" s="276"/>
      <c r="L26" s="264">
        <v>-1415433</v>
      </c>
    </row>
    <row r="27" spans="2:12" ht="15">
      <c r="B27" s="263" t="s">
        <v>485</v>
      </c>
      <c r="C27" s="274">
        <f>+'[6]HT'!H83</f>
        <v>77802456</v>
      </c>
      <c r="D27" s="275"/>
      <c r="E27" s="275"/>
      <c r="F27" s="274">
        <f>+'[6]HT'!N83</f>
        <v>77802456</v>
      </c>
      <c r="G27" s="267" t="str">
        <f t="shared" si="0"/>
        <v>CREDITOS FERTILIZANTES NO ASOCIADOS</v>
      </c>
      <c r="J27" s="264">
        <v>66310509</v>
      </c>
      <c r="L27" s="264">
        <v>67873511</v>
      </c>
    </row>
    <row r="28" spans="2:12" ht="15">
      <c r="B28" s="263" t="s">
        <v>250</v>
      </c>
      <c r="C28" s="274">
        <f>SUM('[6]HT'!H84:H96)+'[6]HT'!H98</f>
        <v>5975667</v>
      </c>
      <c r="D28" s="275"/>
      <c r="E28" s="275"/>
      <c r="F28" s="274">
        <f>SUM('[6]HT'!N84:N96)+'[6]HT'!N98</f>
        <v>5975667</v>
      </c>
      <c r="G28" s="267" t="str">
        <f t="shared" si="0"/>
        <v>INTERESES DE CREDITOS</v>
      </c>
      <c r="J28" s="264">
        <f>2209663+2071496+4297751</f>
        <v>8578910</v>
      </c>
      <c r="L28" s="264">
        <v>4080324</v>
      </c>
    </row>
    <row r="29" spans="2:12" ht="15">
      <c r="B29" s="263" t="s">
        <v>486</v>
      </c>
      <c r="C29" s="274">
        <f>+'[6]HT'!H99</f>
        <v>1498068</v>
      </c>
      <c r="D29" s="275"/>
      <c r="E29" s="275"/>
      <c r="F29" s="274">
        <f>+'[6]HT'!N99</f>
        <v>1498068</v>
      </c>
      <c r="G29" s="267" t="str">
        <f t="shared" si="0"/>
        <v>ANTICIPO DE IMPUESTOS - IVA</v>
      </c>
      <c r="J29" s="264">
        <v>14710904</v>
      </c>
      <c r="L29" s="264">
        <v>4367157</v>
      </c>
    </row>
    <row r="30" spans="2:10" ht="15">
      <c r="B30" s="263" t="s">
        <v>487</v>
      </c>
      <c r="C30" s="274">
        <f>+'[6]HT'!H97</f>
        <v>551481</v>
      </c>
      <c r="D30" s="275"/>
      <c r="E30" s="275"/>
      <c r="F30" s="274">
        <f>+'[6]HT'!N97</f>
        <v>0</v>
      </c>
      <c r="G30" s="267" t="str">
        <f t="shared" si="0"/>
        <v>DESCUENTOS DE ASAMBLEA</v>
      </c>
      <c r="J30" s="264">
        <v>0</v>
      </c>
    </row>
    <row r="31" spans="2:12" ht="15">
      <c r="B31" s="263" t="s">
        <v>416</v>
      </c>
      <c r="C31" s="274">
        <f>+'[6]HT'!H100</f>
        <v>38795771</v>
      </c>
      <c r="D31" s="275"/>
      <c r="E31" s="275"/>
      <c r="F31" s="274">
        <f>+'[6]HT'!N100</f>
        <v>41736071</v>
      </c>
      <c r="G31" s="267" t="str">
        <f t="shared" si="0"/>
        <v>OTRAS CXC</v>
      </c>
      <c r="J31" s="264">
        <v>11773919</v>
      </c>
      <c r="L31" s="264">
        <v>31505206</v>
      </c>
    </row>
    <row r="32" spans="2:12" ht="15">
      <c r="B32" s="263" t="s">
        <v>488</v>
      </c>
      <c r="C32" s="274">
        <f>-SUM('[6]HT'!I102:I117)</f>
        <v>-91888905</v>
      </c>
      <c r="D32" s="275"/>
      <c r="E32" s="275"/>
      <c r="F32" s="274">
        <f>SUM('[6]HT'!N102:N117)</f>
        <v>-91888905</v>
      </c>
      <c r="G32" s="267" t="str">
        <f t="shared" si="0"/>
        <v>PROVISION CARTERAS</v>
      </c>
      <c r="J32" s="264">
        <f>-100291142-2119530-1901861-14738010</f>
        <v>-119050543</v>
      </c>
      <c r="L32" s="264">
        <f>-55663083-143598</f>
        <v>-55806681</v>
      </c>
    </row>
    <row r="33" spans="1:10" ht="15">
      <c r="A33" s="272" t="s">
        <v>489</v>
      </c>
      <c r="B33" s="272"/>
      <c r="C33" s="274"/>
      <c r="D33" s="275"/>
      <c r="E33" s="275"/>
      <c r="F33" s="274"/>
      <c r="G33" s="265" t="s">
        <v>489</v>
      </c>
      <c r="H33" s="272"/>
      <c r="I33" s="272"/>
      <c r="J33" s="264"/>
    </row>
    <row r="34" spans="2:12" ht="15">
      <c r="B34" s="263" t="s">
        <v>24</v>
      </c>
      <c r="C34" s="274">
        <f>SUM('[6]HT'!H118:H122)</f>
        <v>26760190</v>
      </c>
      <c r="D34" s="275"/>
      <c r="E34" s="275"/>
      <c r="F34" s="274">
        <f>SUM('[6]HT'!N118:N122)</f>
        <v>155866190</v>
      </c>
      <c r="G34" s="267" t="str">
        <f t="shared" si="0"/>
        <v>TERRENOS</v>
      </c>
      <c r="J34" s="264">
        <f>157396190-1530000</f>
        <v>155866190</v>
      </c>
      <c r="K34" s="275"/>
      <c r="L34" s="264">
        <v>155866190</v>
      </c>
    </row>
    <row r="35" spans="2:13" ht="15">
      <c r="B35" s="263" t="s">
        <v>490</v>
      </c>
      <c r="C35" s="274">
        <f>SUM('[6]HT'!H123:H127)</f>
        <v>316736285</v>
      </c>
      <c r="D35" s="275"/>
      <c r="E35" s="275"/>
      <c r="F35" s="274">
        <f>SUM('[6]HT'!N123:N127)</f>
        <v>636108571</v>
      </c>
      <c r="G35" s="267" t="str">
        <f t="shared" si="0"/>
        <v>EDIFICIOS</v>
      </c>
      <c r="J35" s="264">
        <v>639515698</v>
      </c>
      <c r="K35" s="275"/>
      <c r="L35" s="264">
        <v>648532542</v>
      </c>
      <c r="M35" s="275"/>
    </row>
    <row r="36" spans="2:12" ht="15">
      <c r="B36" s="263" t="s">
        <v>491</v>
      </c>
      <c r="C36" s="274">
        <f>SUM('[6]HT'!H128:H152)</f>
        <v>85226794</v>
      </c>
      <c r="D36" s="275"/>
      <c r="E36" s="275"/>
      <c r="F36" s="274">
        <f>SUM('[6]HT'!N128:N152)</f>
        <v>9266300</v>
      </c>
      <c r="G36" s="267" t="str">
        <f t="shared" si="0"/>
        <v>MUEBLES Y EQUIPO DE OFICINA</v>
      </c>
      <c r="J36" s="264">
        <v>9266300</v>
      </c>
      <c r="K36" s="275"/>
      <c r="L36" s="264">
        <v>16189110</v>
      </c>
    </row>
    <row r="37" spans="2:12" ht="15">
      <c r="B37" s="263" t="s">
        <v>492</v>
      </c>
      <c r="C37" s="274">
        <f>SUM('[6]HT'!H155:H167)</f>
        <v>47088123</v>
      </c>
      <c r="D37" s="275"/>
      <c r="E37" s="275"/>
      <c r="F37" s="274">
        <f>SUM('[6]HT'!N155:N167)</f>
        <v>59003381</v>
      </c>
      <c r="G37" s="267" t="str">
        <f t="shared" si="0"/>
        <v>EQUIPO DE COMPUTO Y COMUNICACIÓN</v>
      </c>
      <c r="J37" s="264">
        <v>64003381</v>
      </c>
      <c r="K37" s="275"/>
      <c r="L37" s="264">
        <v>68787328</v>
      </c>
    </row>
    <row r="38" spans="2:12" ht="15">
      <c r="B38" s="263" t="s">
        <v>29</v>
      </c>
      <c r="C38" s="274">
        <f>SUM('[6]HT'!H168:H182)</f>
        <v>183228149</v>
      </c>
      <c r="D38" s="275"/>
      <c r="E38" s="275"/>
      <c r="F38" s="274">
        <f>SUM('[6]HT'!N168:N182)</f>
        <v>169313880</v>
      </c>
      <c r="G38" s="267" t="str">
        <f t="shared" si="0"/>
        <v>MAQUINARIA Y EQUIPO</v>
      </c>
      <c r="J38" s="264">
        <v>170263880</v>
      </c>
      <c r="K38" s="275"/>
      <c r="L38" s="264">
        <v>180083387</v>
      </c>
    </row>
    <row r="39" spans="2:12" ht="15">
      <c r="B39" s="263" t="s">
        <v>167</v>
      </c>
      <c r="C39" s="274">
        <f>-SUM('[6]HT'!I184:I196)</f>
        <v>-430461950</v>
      </c>
      <c r="D39" s="275"/>
      <c r="E39" s="275"/>
      <c r="F39" s="274">
        <f>SUM('[6]HT'!N184:N196)</f>
        <v>-214458185.1</v>
      </c>
      <c r="G39" s="267" t="str">
        <f t="shared" si="0"/>
        <v>DEPRECIACION</v>
      </c>
      <c r="J39" s="264">
        <v>-238481847.608278</v>
      </c>
      <c r="K39" s="275"/>
      <c r="L39" s="264">
        <v>-259789809</v>
      </c>
    </row>
    <row r="40" spans="1:11" ht="15">
      <c r="A40" s="272" t="s">
        <v>86</v>
      </c>
      <c r="B40" s="272"/>
      <c r="C40" s="274"/>
      <c r="D40" s="275"/>
      <c r="E40" s="275"/>
      <c r="F40" s="274"/>
      <c r="G40" s="265" t="s">
        <v>86</v>
      </c>
      <c r="H40" s="272"/>
      <c r="I40" s="272"/>
      <c r="J40" s="264"/>
      <c r="K40" s="264"/>
    </row>
    <row r="41" spans="2:10" ht="15">
      <c r="B41" s="263" t="s">
        <v>493</v>
      </c>
      <c r="C41" s="274">
        <f>+'[6]HT'!H197</f>
        <v>35889688</v>
      </c>
      <c r="D41" s="275"/>
      <c r="E41" s="275"/>
      <c r="F41" s="274">
        <v>0</v>
      </c>
      <c r="G41" s="267" t="str">
        <f t="shared" si="0"/>
        <v>POLIZAS DE SEGURO</v>
      </c>
      <c r="J41" s="264"/>
    </row>
    <row r="42" spans="2:10" ht="15">
      <c r="B42" s="263" t="s">
        <v>494</v>
      </c>
      <c r="C42" s="274">
        <f>SUM('[6]HT'!H199:H204)</f>
        <v>55766683</v>
      </c>
      <c r="D42" s="275"/>
      <c r="E42" s="275"/>
      <c r="F42" s="274">
        <f>SUM('[6]HT'!N199:N204)</f>
        <v>0</v>
      </c>
      <c r="G42" s="267" t="str">
        <f t="shared" si="0"/>
        <v>FLO</v>
      </c>
      <c r="J42" s="264"/>
    </row>
    <row r="43" spans="1:10" ht="15">
      <c r="A43" s="272" t="s">
        <v>495</v>
      </c>
      <c r="C43" s="274"/>
      <c r="D43" s="275"/>
      <c r="E43" s="275"/>
      <c r="F43" s="274"/>
      <c r="G43" s="265" t="s">
        <v>496</v>
      </c>
      <c r="H43" s="272"/>
      <c r="I43" s="272"/>
      <c r="J43" s="264"/>
    </row>
    <row r="44" spans="2:12" ht="15">
      <c r="B44" s="263" t="s">
        <v>493</v>
      </c>
      <c r="C44" s="274"/>
      <c r="D44" s="275"/>
      <c r="E44" s="275"/>
      <c r="F44" s="274">
        <f>+C41</f>
        <v>35889688</v>
      </c>
      <c r="G44" s="267" t="str">
        <f t="shared" si="0"/>
        <v>POLIZAS DE SEGURO</v>
      </c>
      <c r="J44" s="264">
        <v>43580581.81</v>
      </c>
      <c r="L44" s="264">
        <v>44461233</v>
      </c>
    </row>
    <row r="45" spans="1:10" ht="15">
      <c r="A45" s="272" t="s">
        <v>497</v>
      </c>
      <c r="B45" s="272"/>
      <c r="C45" s="274"/>
      <c r="D45" s="275"/>
      <c r="E45" s="275"/>
      <c r="F45" s="274"/>
      <c r="G45" s="265" t="s">
        <v>497</v>
      </c>
      <c r="H45" s="272"/>
      <c r="I45" s="272"/>
      <c r="J45" s="264"/>
    </row>
    <row r="46" spans="2:12" ht="15">
      <c r="B46" s="136" t="s">
        <v>498</v>
      </c>
      <c r="C46" s="274">
        <f>+'[6]HT'!H206</f>
        <v>303575289</v>
      </c>
      <c r="D46" s="275"/>
      <c r="E46" s="275"/>
      <c r="F46" s="274">
        <f>+'[6]HT'!N206</f>
        <v>303575289</v>
      </c>
      <c r="G46" s="267" t="str">
        <f t="shared" si="0"/>
        <v> VALENCIA CANDAMIL NOHOR</v>
      </c>
      <c r="J46" s="274">
        <v>303575289</v>
      </c>
      <c r="L46" s="264">
        <v>303575289</v>
      </c>
    </row>
    <row r="47" spans="2:12" ht="15">
      <c r="B47" s="136"/>
      <c r="C47" s="274"/>
      <c r="D47" s="275"/>
      <c r="E47" s="275"/>
      <c r="F47" s="274"/>
      <c r="G47" s="267" t="s">
        <v>52</v>
      </c>
      <c r="J47" s="274"/>
      <c r="L47" s="264">
        <v>203068525</v>
      </c>
    </row>
    <row r="48" spans="2:10" ht="15">
      <c r="B48" s="136" t="s">
        <v>499</v>
      </c>
      <c r="C48" s="274">
        <f>+'[6]HT'!H207</f>
        <v>34831523</v>
      </c>
      <c r="D48" s="275"/>
      <c r="E48" s="275"/>
      <c r="F48" s="274">
        <f>+'[6]HT'!N207</f>
        <v>0</v>
      </c>
      <c r="G48" s="267" t="str">
        <f t="shared" si="0"/>
        <v> AGROMAN (ROGELIO GIRALD</v>
      </c>
      <c r="J48" s="274">
        <v>0</v>
      </c>
    </row>
    <row r="49" spans="2:12" ht="15">
      <c r="B49" s="136" t="s">
        <v>500</v>
      </c>
      <c r="C49" s="274">
        <f>+'[6]HT'!H208</f>
        <v>124064268</v>
      </c>
      <c r="D49" s="275"/>
      <c r="E49" s="275"/>
      <c r="F49" s="274">
        <f>+'[6]HT'!N208</f>
        <v>124064268</v>
      </c>
      <c r="G49" s="267" t="str">
        <f t="shared" si="0"/>
        <v> ROJAS RIOS ANATOL (FALT</v>
      </c>
      <c r="J49" s="274">
        <v>124064268</v>
      </c>
      <c r="L49" s="264">
        <v>124064268</v>
      </c>
    </row>
    <row r="50" spans="2:12" ht="15">
      <c r="B50" s="136" t="s">
        <v>501</v>
      </c>
      <c r="C50" s="274">
        <f>-SUM('[6]HT'!I215:I217)</f>
        <v>-462471080</v>
      </c>
      <c r="D50" s="275"/>
      <c r="E50" s="275"/>
      <c r="F50" s="274">
        <f>SUM('[6]HT'!N215:N217)</f>
        <v>-427639557</v>
      </c>
      <c r="G50" s="267" t="str">
        <f t="shared" si="0"/>
        <v>PROVISIONES RESPONSABILIDADES PENDIENTES</v>
      </c>
      <c r="J50" s="274">
        <v>-427639557</v>
      </c>
      <c r="L50" s="264">
        <v>-453224624.22</v>
      </c>
    </row>
    <row r="51" spans="1:10" ht="15">
      <c r="A51" s="272" t="s">
        <v>38</v>
      </c>
      <c r="B51" s="272"/>
      <c r="C51" s="274"/>
      <c r="D51" s="275"/>
      <c r="E51" s="275"/>
      <c r="F51" s="274"/>
      <c r="G51" s="265" t="s">
        <v>38</v>
      </c>
      <c r="H51" s="272"/>
      <c r="I51" s="272"/>
      <c r="J51" s="277"/>
    </row>
    <row r="52" spans="2:14" ht="15">
      <c r="B52" s="136" t="s">
        <v>502</v>
      </c>
      <c r="C52" s="274">
        <f>+'[6]HT'!H209</f>
        <v>88242243</v>
      </c>
      <c r="D52" s="275"/>
      <c r="E52" s="275"/>
      <c r="F52" s="274">
        <f>+'[6]HT'!N209</f>
        <v>88242243</v>
      </c>
      <c r="G52" s="267" t="str">
        <f t="shared" si="0"/>
        <v> CENCOTOL LTDA</v>
      </c>
      <c r="J52" s="264">
        <v>88242243</v>
      </c>
      <c r="L52" s="264">
        <v>88242245.02</v>
      </c>
      <c r="N52" s="263">
        <f>825000/125</f>
        <v>6600</v>
      </c>
    </row>
    <row r="53" spans="2:12" ht="15">
      <c r="B53" s="136" t="s">
        <v>503</v>
      </c>
      <c r="C53" s="274">
        <f>+'[6]HT'!H210</f>
        <v>33352954</v>
      </c>
      <c r="D53" s="275"/>
      <c r="E53" s="275"/>
      <c r="F53" s="274">
        <f>+'[6]HT'!N210</f>
        <v>33352954</v>
      </c>
      <c r="G53" s="267" t="str">
        <f t="shared" si="0"/>
        <v> COOMERSA LTDA</v>
      </c>
      <c r="J53" s="264">
        <v>33352954</v>
      </c>
      <c r="L53" s="264">
        <v>33352954</v>
      </c>
    </row>
    <row r="54" spans="2:10" ht="15">
      <c r="B54" s="136" t="s">
        <v>504</v>
      </c>
      <c r="C54" s="274">
        <f>+'[6]HT'!H211</f>
        <v>83000</v>
      </c>
      <c r="D54" s="275"/>
      <c r="E54" s="275"/>
      <c r="F54" s="274">
        <f>+'[6]HT'!N211</f>
        <v>0</v>
      </c>
      <c r="G54" s="267" t="str">
        <f t="shared" si="0"/>
        <v> ASOHOFRUCOL</v>
      </c>
      <c r="J54" s="264"/>
    </row>
    <row r="55" spans="2:10" ht="15">
      <c r="B55" s="136" t="s">
        <v>505</v>
      </c>
      <c r="C55" s="274">
        <f>+'[6]HT'!H212</f>
        <v>150000</v>
      </c>
      <c r="D55" s="275"/>
      <c r="E55" s="275"/>
      <c r="F55" s="274">
        <f>+'[6]HT'!N212</f>
        <v>0</v>
      </c>
      <c r="G55" s="267" t="str">
        <f t="shared" si="0"/>
        <v> CLUB SOCIAL</v>
      </c>
      <c r="J55" s="264"/>
    </row>
    <row r="56" spans="1:10" ht="15">
      <c r="A56" s="272" t="s">
        <v>39</v>
      </c>
      <c r="B56" s="272"/>
      <c r="C56" s="274"/>
      <c r="D56" s="275"/>
      <c r="E56" s="275"/>
      <c r="F56" s="274"/>
      <c r="G56" s="265" t="s">
        <v>39</v>
      </c>
      <c r="H56" s="272"/>
      <c r="I56" s="272"/>
      <c r="J56" s="264"/>
    </row>
    <row r="57" spans="2:10" ht="15">
      <c r="B57" s="136" t="s">
        <v>506</v>
      </c>
      <c r="C57" s="274">
        <f>+'[6]HT'!H213</f>
        <v>448478286</v>
      </c>
      <c r="D57" s="275"/>
      <c r="E57" s="275"/>
      <c r="F57" s="274">
        <f>+'[6]HT'!N213</f>
        <v>0</v>
      </c>
      <c r="G57" s="267" t="str">
        <f t="shared" si="0"/>
        <v>EDIFICIO FRESNO</v>
      </c>
      <c r="J57" s="264">
        <v>0</v>
      </c>
    </row>
    <row r="58" spans="3:10" ht="15">
      <c r="C58" s="274"/>
      <c r="D58" s="275"/>
      <c r="E58" s="275"/>
      <c r="F58" s="274"/>
      <c r="J58" s="264"/>
    </row>
    <row r="59" spans="1:12" ht="15">
      <c r="A59" s="486" t="s">
        <v>41</v>
      </c>
      <c r="B59" s="486"/>
      <c r="C59" s="278">
        <f>SUM(C9:C58)</f>
        <v>2505872674</v>
      </c>
      <c r="D59" s="275"/>
      <c r="E59" s="275"/>
      <c r="F59" s="278">
        <f>SUM(F9:F58)</f>
        <v>2605858731.9</v>
      </c>
      <c r="G59" s="265" t="s">
        <v>41</v>
      </c>
      <c r="H59" s="262"/>
      <c r="I59" s="262"/>
      <c r="J59" s="278">
        <f>SUM(J9:J58)</f>
        <v>2570795811.201722</v>
      </c>
      <c r="K59" s="278">
        <f>SUM(K9:K58)</f>
        <v>0</v>
      </c>
      <c r="L59" s="278">
        <f>SUM(L9:L58)</f>
        <v>2482375733.4900002</v>
      </c>
    </row>
    <row r="60" ht="15">
      <c r="J60" s="264"/>
    </row>
    <row r="61" spans="1:10" ht="15">
      <c r="A61" s="486" t="s">
        <v>507</v>
      </c>
      <c r="B61" s="486"/>
      <c r="G61" s="265" t="s">
        <v>507</v>
      </c>
      <c r="H61" s="262"/>
      <c r="I61" s="262"/>
      <c r="J61" s="271"/>
    </row>
    <row r="62" spans="1:10" ht="15">
      <c r="A62" s="272" t="s">
        <v>95</v>
      </c>
      <c r="B62" s="272"/>
      <c r="J62" s="264"/>
    </row>
    <row r="63" spans="2:12" ht="15">
      <c r="B63" s="263" t="s">
        <v>508</v>
      </c>
      <c r="C63" s="273">
        <f>+'[6]HT'!I219</f>
        <v>274896616</v>
      </c>
      <c r="D63" s="453"/>
      <c r="F63" s="273">
        <f>-'[6]HT'!N219</f>
        <v>274896616</v>
      </c>
      <c r="G63" s="267" t="str">
        <f t="shared" si="0"/>
        <v>LINEA DE FINANCIAMIENTO</v>
      </c>
      <c r="J63" s="264">
        <v>389003545</v>
      </c>
      <c r="L63" s="264">
        <v>239826560</v>
      </c>
    </row>
    <row r="64" spans="2:12" ht="15">
      <c r="B64" s="263" t="s">
        <v>509</v>
      </c>
      <c r="C64" s="273">
        <f>+'[6]HT'!I220</f>
        <v>78000000</v>
      </c>
      <c r="F64" s="273">
        <f>-'[6]HT'!N220</f>
        <v>78000000</v>
      </c>
      <c r="G64" s="267" t="str">
        <f t="shared" si="0"/>
        <v>RESOLUCION 5 FERTILIZANTES</v>
      </c>
      <c r="J64" s="264"/>
      <c r="L64" s="264">
        <v>0</v>
      </c>
    </row>
    <row r="65" spans="2:10" ht="15">
      <c r="B65" s="263" t="s">
        <v>510</v>
      </c>
      <c r="C65" s="273">
        <f>+'[6]HT'!I221</f>
        <v>4387453</v>
      </c>
      <c r="F65" s="273">
        <f>-'[6]HT'!N221</f>
        <v>4387453</v>
      </c>
      <c r="G65" s="267" t="str">
        <f t="shared" si="0"/>
        <v>AUDITORIA EXTERNA</v>
      </c>
      <c r="J65" s="264">
        <v>14344954</v>
      </c>
    </row>
    <row r="66" spans="2:10" ht="15">
      <c r="B66" s="263" t="s">
        <v>278</v>
      </c>
      <c r="C66" s="273">
        <f>+'[6]HT'!I227</f>
        <v>1342455</v>
      </c>
      <c r="F66" s="273">
        <f>-'[6]HT'!N227</f>
        <v>1342455</v>
      </c>
      <c r="G66" s="267" t="str">
        <f t="shared" si="0"/>
        <v>SERVICIOS PUBLICOS</v>
      </c>
      <c r="J66" s="264">
        <v>1688221</v>
      </c>
    </row>
    <row r="67" spans="2:12" ht="15">
      <c r="B67" s="263" t="s">
        <v>46</v>
      </c>
      <c r="C67" s="273">
        <f>+'[6]HT'!I243</f>
        <v>834740911</v>
      </c>
      <c r="F67" s="273">
        <f>-'[6]HT'!N243</f>
        <v>834740911</v>
      </c>
      <c r="G67" s="267" t="str">
        <f t="shared" si="0"/>
        <v>PROVEEDORES</v>
      </c>
      <c r="J67" s="264">
        <v>761910071</v>
      </c>
      <c r="L67" s="264">
        <v>691522873</v>
      </c>
    </row>
    <row r="68" spans="2:12" ht="15">
      <c r="B68" s="263" t="s">
        <v>511</v>
      </c>
      <c r="C68" s="273">
        <f>SUM('[6]HT'!I228:I241)</f>
        <v>136784090</v>
      </c>
      <c r="F68" s="273">
        <f>-SUM('[6]HT'!N228:N242)</f>
        <v>143746556</v>
      </c>
      <c r="G68" s="267" t="str">
        <f t="shared" si="0"/>
        <v>OTROS COSTOS Y GASTOS POR PAGAR</v>
      </c>
      <c r="J68" s="264">
        <f>97634555-14344954-1688221</f>
        <v>81601380</v>
      </c>
      <c r="L68" s="264">
        <f>179780113+67048</f>
        <v>179847161</v>
      </c>
    </row>
    <row r="69" spans="2:12" ht="15">
      <c r="B69" s="263" t="s">
        <v>512</v>
      </c>
      <c r="C69" s="273">
        <f>SUM('[6]HT'!I244:I256)</f>
        <v>4173533</v>
      </c>
      <c r="F69" s="273">
        <f>-SUM('[6]HT'!N244:N256)</f>
        <v>4173533</v>
      </c>
      <c r="G69" s="267" t="str">
        <f t="shared" si="0"/>
        <v>RETENCIONES EN LA FUENTE</v>
      </c>
      <c r="J69" s="264">
        <v>3789693</v>
      </c>
      <c r="L69" s="264">
        <v>2754312</v>
      </c>
    </row>
    <row r="70" spans="2:12" ht="15">
      <c r="B70" s="263" t="s">
        <v>513</v>
      </c>
      <c r="C70" s="273">
        <f>+'[6]HT'!I270-SUM('[6]HT'!H271:H281)</f>
        <v>9272005</v>
      </c>
      <c r="F70" s="273">
        <f>-SUM('[6]HT'!N270:N281)</f>
        <v>9272005</v>
      </c>
      <c r="G70" s="267" t="str">
        <f t="shared" si="0"/>
        <v>IMPUESTO SOBRE LAS VENTAS</v>
      </c>
      <c r="J70" s="264">
        <v>16000</v>
      </c>
      <c r="L70" s="264">
        <v>578412</v>
      </c>
    </row>
    <row r="71" spans="2:12" ht="15">
      <c r="B71" s="263" t="s">
        <v>514</v>
      </c>
      <c r="C71" s="273">
        <f>SUM('[6]HT'!I257:I266)</f>
        <v>8541887</v>
      </c>
      <c r="F71" s="273">
        <f>-SUM('[6]HT'!N257:N266)</f>
        <v>8541887</v>
      </c>
      <c r="G71" s="267" t="str">
        <f t="shared" si="0"/>
        <v>RETENCIONES Y APORTES DE NOMINA</v>
      </c>
      <c r="J71" s="264">
        <v>8416800</v>
      </c>
      <c r="L71" s="264">
        <v>10074300</v>
      </c>
    </row>
    <row r="72" spans="1:10" ht="15">
      <c r="A72" s="272" t="s">
        <v>515</v>
      </c>
      <c r="G72" s="265" t="s">
        <v>515</v>
      </c>
      <c r="H72" s="272"/>
      <c r="I72" s="272"/>
      <c r="J72" s="264"/>
    </row>
    <row r="73" spans="2:10" ht="15">
      <c r="B73" s="263" t="s">
        <v>515</v>
      </c>
      <c r="C73" s="273">
        <f>+'[6]HT'!I268+'[6]HT'!I269</f>
        <v>8704878</v>
      </c>
      <c r="F73" s="273">
        <f>+'[6]HT'!N268+'[6]HT'!N269</f>
        <v>0</v>
      </c>
      <c r="G73" s="267" t="str">
        <f t="shared" si="0"/>
        <v>CONSIGNACIONES SIN IDENTIFICAR</v>
      </c>
      <c r="J73" s="264">
        <v>0</v>
      </c>
    </row>
    <row r="74" spans="1:10" ht="15">
      <c r="A74" s="272" t="s">
        <v>97</v>
      </c>
      <c r="G74" s="265" t="s">
        <v>97</v>
      </c>
      <c r="H74" s="272"/>
      <c r="I74" s="272"/>
      <c r="J74" s="264"/>
    </row>
    <row r="75" spans="2:12" ht="15">
      <c r="B75" s="263" t="s">
        <v>516</v>
      </c>
      <c r="C75" s="273">
        <f>+'[6]HT'!I283</f>
        <v>8608653</v>
      </c>
      <c r="F75" s="273">
        <f>-'[6]HT'!N283</f>
        <v>8057172</v>
      </c>
      <c r="G75" s="267" t="str">
        <f t="shared" si="0"/>
        <v>FONDO DE SOLIDARIDAD</v>
      </c>
      <c r="J75" s="264">
        <v>15933267</v>
      </c>
      <c r="L75" s="264">
        <v>25536565.67</v>
      </c>
    </row>
    <row r="76" spans="2:12" ht="15">
      <c r="B76" s="263" t="s">
        <v>517</v>
      </c>
      <c r="C76" s="273">
        <f>+'[6]HT'!I285</f>
        <v>73069141</v>
      </c>
      <c r="F76" s="273">
        <f>-'[6]HT'!N285</f>
        <v>17302458</v>
      </c>
      <c r="G76" s="267" t="str">
        <f t="shared" si="0"/>
        <v>FONDO SOCIAL PARA OTROS FINES - FLO</v>
      </c>
      <c r="J76" s="264">
        <f>63307547-39653456</f>
        <v>23654091</v>
      </c>
      <c r="L76" s="264">
        <v>89399848.88</v>
      </c>
    </row>
    <row r="77" spans="1:10" ht="15">
      <c r="A77" s="272" t="s">
        <v>57</v>
      </c>
      <c r="G77" s="265" t="s">
        <v>57</v>
      </c>
      <c r="H77" s="272"/>
      <c r="I77" s="272"/>
      <c r="J77" s="264"/>
    </row>
    <row r="78" spans="2:12" ht="15">
      <c r="B78" s="263" t="s">
        <v>61</v>
      </c>
      <c r="C78" s="273">
        <f>SUM('[6]HT'!I287:I290)</f>
        <v>23917884</v>
      </c>
      <c r="F78" s="273">
        <f>-SUM('[6]HT'!N287:N290)</f>
        <v>23917884</v>
      </c>
      <c r="G78" s="267" t="str">
        <f t="shared" si="0"/>
        <v>OBLIGACIONES LABORALES</v>
      </c>
      <c r="J78" s="264">
        <v>26234828</v>
      </c>
      <c r="L78" s="264">
        <f>27380061+1</f>
        <v>27380062</v>
      </c>
    </row>
    <row r="79" spans="7:10" ht="15">
      <c r="G79" s="267" t="s">
        <v>518</v>
      </c>
      <c r="J79" s="264">
        <v>52066727</v>
      </c>
    </row>
    <row r="80" spans="1:10" ht="15">
      <c r="A80" s="272" t="s">
        <v>519</v>
      </c>
      <c r="G80" s="265" t="s">
        <v>519</v>
      </c>
      <c r="H80" s="272"/>
      <c r="I80" s="272"/>
      <c r="J80" s="264"/>
    </row>
    <row r="81" spans="2:10" ht="15">
      <c r="B81" s="263" t="s">
        <v>520</v>
      </c>
      <c r="C81" s="273">
        <f>+'[6]HT'!I295</f>
        <v>79077375</v>
      </c>
      <c r="F81" s="273">
        <f>-'[6]HT'!N295</f>
        <v>79077375</v>
      </c>
      <c r="G81" s="267" t="str">
        <f t="shared" si="0"/>
        <v>OTRAS PROVISIONES</v>
      </c>
      <c r="J81" s="264">
        <f>8618885+197200</f>
        <v>8816085</v>
      </c>
    </row>
    <row r="82" spans="2:10" ht="15">
      <c r="B82" s="263" t="s">
        <v>521</v>
      </c>
      <c r="C82" s="273">
        <f>+'[6]HT'!I302</f>
        <v>3285275</v>
      </c>
      <c r="F82" s="273">
        <f>-'[6]HT'!N302</f>
        <v>3285275</v>
      </c>
      <c r="G82" s="267" t="str">
        <f t="shared" si="0"/>
        <v>CESANTIAS COMERCIALES</v>
      </c>
      <c r="J82" s="264">
        <v>3285275</v>
      </c>
    </row>
    <row r="83" spans="1:10" ht="15">
      <c r="A83" s="272" t="s">
        <v>522</v>
      </c>
      <c r="B83" s="272"/>
      <c r="G83" s="265" t="s">
        <v>522</v>
      </c>
      <c r="H83" s="272"/>
      <c r="I83" s="272"/>
      <c r="J83" s="264"/>
    </row>
    <row r="84" spans="2:10" ht="15">
      <c r="B84" s="263" t="s">
        <v>65</v>
      </c>
      <c r="C84" s="273">
        <v>0</v>
      </c>
      <c r="F84" s="273">
        <f>-'[6]HT'!N303</f>
        <v>0</v>
      </c>
      <c r="G84" s="267" t="str">
        <f t="shared" si="0"/>
        <v>APORTES SOCIALES</v>
      </c>
      <c r="J84" s="264">
        <v>0</v>
      </c>
    </row>
    <row r="85" ht="15">
      <c r="J85" s="264"/>
    </row>
    <row r="86" spans="1:12" ht="15">
      <c r="A86" s="486" t="s">
        <v>523</v>
      </c>
      <c r="B86" s="486"/>
      <c r="C86" s="278">
        <f>SUM(C63:C85)</f>
        <v>1548802156</v>
      </c>
      <c r="D86" s="275"/>
      <c r="E86" s="275"/>
      <c r="F86" s="278">
        <f>SUM(F63:F85)</f>
        <v>1490741580</v>
      </c>
      <c r="G86" s="265" t="s">
        <v>523</v>
      </c>
      <c r="H86" s="262"/>
      <c r="I86" s="262"/>
      <c r="J86" s="278">
        <f>SUM(J63:J85)</f>
        <v>1390760937</v>
      </c>
      <c r="K86" s="278">
        <f>SUM(K63:K85)</f>
        <v>0</v>
      </c>
      <c r="L86" s="278">
        <f>SUM(L63:L85)</f>
        <v>1266920094.5500002</v>
      </c>
    </row>
    <row r="87" ht="15">
      <c r="J87" s="264"/>
    </row>
    <row r="88" spans="2:10" ht="15">
      <c r="B88" s="262" t="s">
        <v>64</v>
      </c>
      <c r="C88" s="279"/>
      <c r="D88" s="280"/>
      <c r="E88" s="280"/>
      <c r="F88" s="279"/>
      <c r="G88" s="265" t="str">
        <f aca="true" t="shared" si="1" ref="G88:G106">+B88</f>
        <v>PATRIMONIO</v>
      </c>
      <c r="H88" s="262"/>
      <c r="I88" s="262"/>
      <c r="J88" s="264"/>
    </row>
    <row r="89" ht="15">
      <c r="J89" s="264"/>
    </row>
    <row r="90" spans="1:10" ht="15">
      <c r="A90" s="272" t="s">
        <v>103</v>
      </c>
      <c r="G90" s="265" t="s">
        <v>103</v>
      </c>
      <c r="H90" s="272"/>
      <c r="I90" s="272"/>
      <c r="J90" s="264"/>
    </row>
    <row r="91" spans="2:12" ht="15">
      <c r="B91" s="263" t="s">
        <v>65</v>
      </c>
      <c r="C91" s="273">
        <f>SUM('[6]HT'!I307:I311)-11</f>
        <v>381290467</v>
      </c>
      <c r="F91" s="273">
        <f>-'[6]HT'!N310-'[6]HT'!N307-'[6]HT'!N308-'[6]HT'!N309-'[6]HT'!N311</f>
        <v>381290478</v>
      </c>
      <c r="G91" s="267" t="str">
        <f t="shared" si="1"/>
        <v>APORTES SOCIALES</v>
      </c>
      <c r="J91" s="264">
        <f>398642451+11.81</f>
        <v>398642462.81</v>
      </c>
      <c r="L91" s="264">
        <f>398219652</f>
        <v>398219652</v>
      </c>
    </row>
    <row r="92" spans="1:10" ht="15">
      <c r="A92" s="272" t="s">
        <v>104</v>
      </c>
      <c r="G92" s="265" t="s">
        <v>104</v>
      </c>
      <c r="H92" s="272"/>
      <c r="I92" s="272"/>
      <c r="J92" s="264"/>
    </row>
    <row r="93" spans="2:12" ht="15">
      <c r="B93" s="263" t="s">
        <v>524</v>
      </c>
      <c r="C93" s="273">
        <f>+'[6]HT'!I312</f>
        <v>151864711</v>
      </c>
      <c r="F93" s="273">
        <f>-'[6]HT'!N312</f>
        <v>151864711</v>
      </c>
      <c r="G93" s="267" t="str">
        <f t="shared" si="1"/>
        <v>RESERVA ESPECIAL</v>
      </c>
      <c r="J93" s="264">
        <v>151864711</v>
      </c>
      <c r="L93" s="264">
        <v>151864711</v>
      </c>
    </row>
    <row r="94" spans="1:10" ht="15">
      <c r="A94" s="272" t="s">
        <v>105</v>
      </c>
      <c r="G94" s="265" t="s">
        <v>105</v>
      </c>
      <c r="H94" s="272"/>
      <c r="I94" s="272"/>
      <c r="J94" s="264"/>
    </row>
    <row r="95" spans="2:12" ht="15">
      <c r="B95" s="136" t="s">
        <v>525</v>
      </c>
      <c r="C95" s="273">
        <f>+'[6]HT'!I313</f>
        <v>378056300</v>
      </c>
      <c r="F95" s="273">
        <f>-'[6]HT'!N313</f>
        <v>378056300</v>
      </c>
      <c r="G95" s="267" t="str">
        <f t="shared" si="1"/>
        <v> FONDO MERCADEO DE PRODU</v>
      </c>
      <c r="J95" s="264">
        <v>378056300</v>
      </c>
      <c r="L95" s="264">
        <v>378056300</v>
      </c>
    </row>
    <row r="96" spans="2:12" ht="15">
      <c r="B96" s="136" t="s">
        <v>526</v>
      </c>
      <c r="C96" s="273">
        <f>+'[6]HT'!I314</f>
        <v>88573421</v>
      </c>
      <c r="F96" s="273">
        <f>-'[6]HT'!N314</f>
        <v>88573421</v>
      </c>
      <c r="G96" s="267" t="str">
        <f t="shared" si="1"/>
        <v> FONDO PARA INFRAESTRUCT</v>
      </c>
      <c r="J96" s="264">
        <v>88573421</v>
      </c>
      <c r="L96" s="264">
        <v>88573422</v>
      </c>
    </row>
    <row r="97" spans="2:12" ht="15">
      <c r="B97" s="136" t="s">
        <v>527</v>
      </c>
      <c r="C97" s="273">
        <f>+'[6]HT'!I315</f>
        <v>10562811</v>
      </c>
      <c r="F97" s="273">
        <f>-'[6]HT'!N315</f>
        <v>10562811</v>
      </c>
      <c r="G97" s="267" t="str">
        <f t="shared" si="1"/>
        <v> FONDOS SOCIALES CAPITAL</v>
      </c>
      <c r="J97" s="264">
        <v>10562811</v>
      </c>
      <c r="L97" s="264">
        <v>10562811</v>
      </c>
    </row>
    <row r="98" spans="2:12" ht="15">
      <c r="B98" s="136" t="s">
        <v>528</v>
      </c>
      <c r="C98" s="273">
        <f>+'[6]HT'!I316</f>
        <v>127455053</v>
      </c>
      <c r="F98" s="273">
        <f>-'[6]HT'!N316</f>
        <v>127455053</v>
      </c>
      <c r="G98" s="267" t="str">
        <f t="shared" si="1"/>
        <v> OTROS FONDOS</v>
      </c>
      <c r="J98" s="264">
        <v>127455053</v>
      </c>
      <c r="L98" s="264">
        <v>127455053</v>
      </c>
    </row>
    <row r="99" spans="1:10" ht="15">
      <c r="A99" s="272" t="s">
        <v>106</v>
      </c>
      <c r="G99" s="265" t="s">
        <v>106</v>
      </c>
      <c r="H99" s="272"/>
      <c r="I99" s="272"/>
      <c r="J99" s="264"/>
    </row>
    <row r="100" spans="2:12" ht="15">
      <c r="B100" s="263" t="s">
        <v>72</v>
      </c>
      <c r="C100" s="273">
        <f>+'[6]HT'!I317</f>
        <v>4285400</v>
      </c>
      <c r="F100" s="273">
        <f>-'[6]HT'!N317</f>
        <v>4285400</v>
      </c>
      <c r="G100" s="267" t="str">
        <f t="shared" si="1"/>
        <v>AUXILIOS Y DONACIONES</v>
      </c>
      <c r="J100" s="264">
        <v>4285400</v>
      </c>
      <c r="L100" s="264">
        <v>4285400</v>
      </c>
    </row>
    <row r="101" spans="1:10" ht="15">
      <c r="A101" s="272"/>
      <c r="B101" s="263" t="s">
        <v>39</v>
      </c>
      <c r="C101" s="273">
        <f>+'[6]HT'!I318</f>
        <v>448478286</v>
      </c>
      <c r="F101" s="273">
        <f>-'[6]HT'!N318</f>
        <v>0</v>
      </c>
      <c r="G101" s="267" t="str">
        <f t="shared" si="1"/>
        <v>VALORIZACIONES</v>
      </c>
      <c r="J101" s="264"/>
    </row>
    <row r="102" spans="1:10" ht="15">
      <c r="A102" s="272" t="s">
        <v>529</v>
      </c>
      <c r="G102" s="265" t="s">
        <v>529</v>
      </c>
      <c r="H102" s="272"/>
      <c r="I102" s="272"/>
      <c r="J102" s="264"/>
    </row>
    <row r="103" spans="2:14" ht="15">
      <c r="B103" s="263" t="s">
        <v>107</v>
      </c>
      <c r="C103" s="273">
        <f>-'[6]HT'!H319</f>
        <v>-454726097</v>
      </c>
      <c r="F103" s="273">
        <f>-'[6]HT'!N319</f>
        <v>-454726097</v>
      </c>
      <c r="G103" s="267" t="str">
        <f t="shared" si="1"/>
        <v>RESULTADO DEL EJERCICIO</v>
      </c>
      <c r="J103" s="264">
        <f>55220534-4756383.01-446987.74-20002-2431423.76</f>
        <v>47565737.49</v>
      </c>
      <c r="L103" s="264">
        <v>35843563.25999963</v>
      </c>
      <c r="N103" s="276"/>
    </row>
    <row r="104" spans="2:13" ht="15">
      <c r="B104" s="263" t="s">
        <v>108</v>
      </c>
      <c r="C104" s="273">
        <f>-'[6]HT'!H320</f>
        <v>-178769834</v>
      </c>
      <c r="F104" s="273">
        <f>-'[6]HT'!N320</f>
        <v>-178769845</v>
      </c>
      <c r="G104" s="267" t="str">
        <f t="shared" si="1"/>
        <v>RESULTADO DE EJERCICIOS ANTERIORES</v>
      </c>
      <c r="J104" s="264">
        <f>-178769845-454726097</f>
        <v>-633495942</v>
      </c>
      <c r="L104" s="264">
        <v>-585930194.21</v>
      </c>
      <c r="M104" s="276"/>
    </row>
    <row r="105" spans="1:10" ht="15">
      <c r="A105" s="272" t="s">
        <v>530</v>
      </c>
      <c r="G105" s="265" t="s">
        <v>530</v>
      </c>
      <c r="H105" s="272"/>
      <c r="I105" s="272"/>
      <c r="J105" s="264"/>
    </row>
    <row r="106" spans="2:13" ht="15">
      <c r="B106" s="263" t="s">
        <v>531</v>
      </c>
      <c r="C106" s="273">
        <v>0</v>
      </c>
      <c r="F106" s="273">
        <f>-'[6]HT'!N321</f>
        <v>606524919.899125</v>
      </c>
      <c r="G106" s="267" t="str">
        <f t="shared" si="1"/>
        <v>AJUSTES DE ADOPCIÓN POR PRIMERA VEZ</v>
      </c>
      <c r="J106" s="264">
        <v>606524919.9</v>
      </c>
      <c r="K106" s="276"/>
      <c r="L106" s="264">
        <v>606524919.9</v>
      </c>
      <c r="M106" s="264"/>
    </row>
    <row r="107" ht="15">
      <c r="J107" s="264"/>
    </row>
    <row r="108" spans="1:12" ht="15">
      <c r="A108" s="486" t="s">
        <v>75</v>
      </c>
      <c r="B108" s="486"/>
      <c r="C108" s="278">
        <f>SUM(C91:C107)</f>
        <v>957070518</v>
      </c>
      <c r="D108" s="275"/>
      <c r="E108" s="275"/>
      <c r="F108" s="278">
        <f>SUM(F91:F107)</f>
        <v>1115117151.899125</v>
      </c>
      <c r="G108" s="265" t="s">
        <v>75</v>
      </c>
      <c r="H108" s="262"/>
      <c r="I108" s="262"/>
      <c r="J108" s="278">
        <f>SUM(J91:J107)</f>
        <v>1180034874.1999998</v>
      </c>
      <c r="K108" s="278">
        <f>SUM(K91:K107)</f>
        <v>0</v>
      </c>
      <c r="L108" s="278">
        <f>SUM(L91:L107)</f>
        <v>1215455637.9499998</v>
      </c>
    </row>
    <row r="109" ht="15">
      <c r="L109" s="263"/>
    </row>
    <row r="110" spans="3:12" ht="15">
      <c r="C110" s="269">
        <f>+C86+C108</f>
        <v>2505872674</v>
      </c>
      <c r="F110" s="269">
        <f>+F86+F108</f>
        <v>2605858731.899125</v>
      </c>
      <c r="J110" s="278">
        <f>+J86+J108</f>
        <v>2570795811.2</v>
      </c>
      <c r="K110" s="278">
        <f>+K86+K108</f>
        <v>0</v>
      </c>
      <c r="L110" s="278">
        <f>+L86+L108</f>
        <v>2482375732.5</v>
      </c>
    </row>
    <row r="111" spans="3:12" ht="15">
      <c r="C111" s="269">
        <f>+C59-C110</f>
        <v>0</v>
      </c>
      <c r="F111" s="269">
        <f>+F59-F110</f>
        <v>0.0008749961853027344</v>
      </c>
      <c r="J111" s="269">
        <f>+J59-J110</f>
        <v>0.0017223358154296875</v>
      </c>
      <c r="K111" s="269">
        <f>+K59-K110</f>
        <v>0</v>
      </c>
      <c r="L111" s="269">
        <f>+L59-L110</f>
        <v>0.9900002479553223</v>
      </c>
    </row>
  </sheetData>
  <sheetProtection/>
  <mergeCells count="9">
    <mergeCell ref="A61:B61"/>
    <mergeCell ref="A86:B86"/>
    <mergeCell ref="A108:B108"/>
    <mergeCell ref="A1:G1"/>
    <mergeCell ref="A2:G2"/>
    <mergeCell ref="A3:G3"/>
    <mergeCell ref="A6:B6"/>
    <mergeCell ref="A7:B7"/>
    <mergeCell ref="A59:B5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74"/>
  <sheetViews>
    <sheetView workbookViewId="0" topLeftCell="A1">
      <selection activeCell="D35" sqref="D35"/>
    </sheetView>
  </sheetViews>
  <sheetFormatPr defaultColWidth="11.421875" defaultRowHeight="15"/>
  <cols>
    <col min="1" max="1" width="3.57421875" style="0" customWidth="1"/>
    <col min="2" max="2" width="44.7109375" style="5" customWidth="1"/>
    <col min="3" max="3" width="5.57421875" style="19" customWidth="1"/>
    <col min="4" max="4" width="26.28125" style="288" bestFit="1" customWidth="1"/>
    <col min="5" max="5" width="1.421875" style="288" customWidth="1"/>
    <col min="6" max="6" width="26.8515625" style="295" bestFit="1" customWidth="1"/>
    <col min="7" max="7" width="1.7109375" style="288" customWidth="1"/>
    <col min="8" max="8" width="25.57421875" style="296" customWidth="1"/>
    <col min="9" max="9" width="1.7109375" style="0" customWidth="1"/>
    <col min="10" max="10" width="25.421875" style="8" bestFit="1" customWidth="1"/>
    <col min="11" max="11" width="2.421875" style="0" customWidth="1"/>
    <col min="12" max="12" width="11.28125" style="15" bestFit="1" customWidth="1"/>
    <col min="13" max="14" width="17.421875" style="0" bestFit="1" customWidth="1"/>
    <col min="15" max="15" width="15.57421875" style="0" bestFit="1" customWidth="1"/>
  </cols>
  <sheetData>
    <row r="1" spans="1:12" ht="15">
      <c r="A1" s="22"/>
      <c r="B1" s="489" t="s">
        <v>91</v>
      </c>
      <c r="C1" s="489"/>
      <c r="D1" s="489"/>
      <c r="E1" s="489"/>
      <c r="F1" s="489"/>
      <c r="G1" s="489"/>
      <c r="H1" s="489"/>
      <c r="I1" s="489"/>
      <c r="J1" s="489"/>
      <c r="K1" s="179"/>
      <c r="L1" s="180"/>
    </row>
    <row r="2" spans="1:12" ht="15">
      <c r="A2" s="23"/>
      <c r="B2" s="490" t="s">
        <v>562</v>
      </c>
      <c r="C2" s="490"/>
      <c r="D2" s="490"/>
      <c r="E2" s="490"/>
      <c r="F2" s="490"/>
      <c r="G2" s="490"/>
      <c r="H2" s="490"/>
      <c r="I2" s="490"/>
      <c r="J2" s="490"/>
      <c r="K2" s="152"/>
      <c r="L2" s="153"/>
    </row>
    <row r="3" spans="1:12" ht="15">
      <c r="A3" s="23"/>
      <c r="B3" s="490" t="s">
        <v>93</v>
      </c>
      <c r="C3" s="490"/>
      <c r="D3" s="490"/>
      <c r="E3" s="490"/>
      <c r="F3" s="490"/>
      <c r="G3" s="490"/>
      <c r="H3" s="490"/>
      <c r="I3" s="490"/>
      <c r="J3" s="490"/>
      <c r="K3" s="152"/>
      <c r="L3" s="153"/>
    </row>
    <row r="4" spans="1:12" ht="15">
      <c r="A4" s="23"/>
      <c r="B4" s="125"/>
      <c r="C4" s="24"/>
      <c r="D4" s="281"/>
      <c r="E4" s="281"/>
      <c r="F4" s="281"/>
      <c r="G4" s="281"/>
      <c r="H4" s="282"/>
      <c r="I4" s="258"/>
      <c r="J4" s="24"/>
      <c r="K4" s="24"/>
      <c r="L4" s="25"/>
    </row>
    <row r="5" spans="1:12" ht="15">
      <c r="A5" s="23"/>
      <c r="B5" s="124"/>
      <c r="C5" s="24"/>
      <c r="D5" s="283"/>
      <c r="E5" s="283"/>
      <c r="F5" s="284"/>
      <c r="G5" s="283"/>
      <c r="H5" s="285"/>
      <c r="I5" s="18"/>
      <c r="J5" s="17"/>
      <c r="K5" s="18"/>
      <c r="L5" s="26"/>
    </row>
    <row r="6" spans="1:12" ht="15">
      <c r="A6" s="23"/>
      <c r="B6" s="124"/>
      <c r="C6" s="24" t="s">
        <v>111</v>
      </c>
      <c r="D6" s="297">
        <v>2016</v>
      </c>
      <c r="E6" s="298"/>
      <c r="F6" s="297">
        <v>2015</v>
      </c>
      <c r="G6" s="286"/>
      <c r="H6" s="282" t="s">
        <v>464</v>
      </c>
      <c r="I6" s="21"/>
      <c r="J6" s="98" t="s">
        <v>532</v>
      </c>
      <c r="K6" s="21"/>
      <c r="L6" s="28" t="s">
        <v>82</v>
      </c>
    </row>
    <row r="7" spans="1:12" ht="15">
      <c r="A7" s="23"/>
      <c r="B7" s="121" t="s">
        <v>0</v>
      </c>
      <c r="C7" s="24"/>
      <c r="D7" s="287"/>
      <c r="E7" s="283"/>
      <c r="F7" s="287"/>
      <c r="G7" s="283"/>
      <c r="H7" s="285"/>
      <c r="I7" s="18"/>
      <c r="J7" s="17"/>
      <c r="K7" s="18"/>
      <c r="L7" s="26"/>
    </row>
    <row r="8" spans="1:12" ht="15">
      <c r="A8" s="23"/>
      <c r="B8" s="121" t="s">
        <v>1</v>
      </c>
      <c r="C8" s="24"/>
      <c r="D8" s="287"/>
      <c r="E8" s="283"/>
      <c r="F8" s="287"/>
      <c r="G8" s="283"/>
      <c r="H8" s="285"/>
      <c r="I8" s="18"/>
      <c r="J8" s="17"/>
      <c r="K8" s="18"/>
      <c r="L8" s="26"/>
    </row>
    <row r="9" spans="1:12" ht="15">
      <c r="A9" s="23"/>
      <c r="B9" s="124" t="s">
        <v>569</v>
      </c>
      <c r="C9" s="24">
        <v>2</v>
      </c>
      <c r="D9" s="285">
        <f>+PRESENTACION!L9+PRESENTACION!L10+PRESENTACION!L11</f>
        <v>495400239.24</v>
      </c>
      <c r="E9" s="283"/>
      <c r="F9" s="285">
        <f>+PRESENTACION!J9+PRESENTACION!J10+PRESENTACION!J11</f>
        <v>470113316</v>
      </c>
      <c r="G9" s="283"/>
      <c r="H9" s="285">
        <f>+PRESENTACION!F9+PRESENTACION!F10+PRESENTACION!F11</f>
        <v>358121923</v>
      </c>
      <c r="I9" s="18"/>
      <c r="J9" s="17">
        <f>+D9-F9</f>
        <v>25286923.24000001</v>
      </c>
      <c r="K9" s="18"/>
      <c r="L9" s="29">
        <f>+J9/F9</f>
        <v>0.05378899592795199</v>
      </c>
    </row>
    <row r="10" spans="1:12" ht="15">
      <c r="A10" s="23"/>
      <c r="B10" s="126" t="s">
        <v>365</v>
      </c>
      <c r="C10" s="96">
        <v>3</v>
      </c>
      <c r="D10" s="285">
        <f>+PRESENTACION!L13</f>
        <v>0</v>
      </c>
      <c r="E10" s="283"/>
      <c r="F10" s="285">
        <f>+PRESENTACION!J13</f>
        <v>1143324</v>
      </c>
      <c r="G10" s="283"/>
      <c r="H10" s="285">
        <f>+PRESENTACION!F13</f>
        <v>1143324</v>
      </c>
      <c r="I10" s="18"/>
      <c r="J10" s="100">
        <f>+D10-F10</f>
        <v>-1143324</v>
      </c>
      <c r="K10" s="18"/>
      <c r="L10" s="104">
        <v>1</v>
      </c>
    </row>
    <row r="11" spans="1:12" ht="15">
      <c r="A11" s="23"/>
      <c r="B11" s="124" t="s">
        <v>78</v>
      </c>
      <c r="C11" s="24">
        <v>4</v>
      </c>
      <c r="D11" s="285">
        <f>+PRESENTACION!L15+PRESENTACION!L16</f>
        <v>636900266</v>
      </c>
      <c r="E11" s="283"/>
      <c r="F11" s="285">
        <f>+PRESENTACION!J15+PRESENTACION!J16</f>
        <v>849058083</v>
      </c>
      <c r="G11" s="283"/>
      <c r="H11" s="285">
        <f>+PRESENTACION!F15+PRESENTACION!F16</f>
        <v>1018665384</v>
      </c>
      <c r="I11" s="18"/>
      <c r="J11" s="17">
        <f>+D11-F11</f>
        <v>-212157817</v>
      </c>
      <c r="K11" s="18"/>
      <c r="L11" s="29">
        <f>+J11/F11</f>
        <v>-0.2498743269133921</v>
      </c>
    </row>
    <row r="12" spans="1:12" ht="15">
      <c r="A12" s="23"/>
      <c r="B12" s="124" t="s">
        <v>79</v>
      </c>
      <c r="C12" s="24">
        <v>5</v>
      </c>
      <c r="D12" s="285">
        <f>+PRESENTACION!L19+PRESENTACION!L20</f>
        <v>93869590.45</v>
      </c>
      <c r="E12" s="283"/>
      <c r="F12" s="285">
        <f>+PRESENTACION!J19+PRESENTACION!J20</f>
        <v>136541356</v>
      </c>
      <c r="G12" s="283"/>
      <c r="H12" s="285">
        <f>+PRESENTACION!F19+PRESENTACION!F20</f>
        <v>133128354</v>
      </c>
      <c r="I12" s="18"/>
      <c r="J12" s="17">
        <f>+D12-F12</f>
        <v>-42671765.55</v>
      </c>
      <c r="K12" s="18"/>
      <c r="L12" s="29">
        <f>+J12/F12</f>
        <v>-0.31251898179479043</v>
      </c>
    </row>
    <row r="13" spans="1:12" ht="15">
      <c r="A13" s="23"/>
      <c r="B13" s="124" t="s">
        <v>83</v>
      </c>
      <c r="C13" s="24">
        <v>6</v>
      </c>
      <c r="D13" s="285">
        <f>+PRESENTACION!L22+PRESENTACION!L23+PRESENTACION!L24+PRESENTACION!L25+PRESENTACION!L26+PRESENTACION!L27+PRESENTACION!L28+PRESENTACION!L29+PRESENTACION!L30+PRESENTACION!L31+PRESENTACION!L32</f>
        <v>102997000</v>
      </c>
      <c r="E13" s="283"/>
      <c r="F13" s="285">
        <f>+PRESENTACION!J22+PRESENTACION!J23+PRESENTACION!J24+PRESENTACION!J25+PRESENTACION!J26+PRESENTACION!J27+PRESENTACION!J28+PRESENTACION!J29+PRESENTACION!J30+PRESENTACION!J31+PRESENTACION!J32</f>
        <v>148330352</v>
      </c>
      <c r="G13" s="283"/>
      <c r="H13" s="285">
        <f>+PRESENTACION!F22+PRESENTACION!F23+PRESENTACION!F24+PRESENTACION!F25+PRESENTACION!F26+PRESENTACION!F27+PRESENTACION!F28+PRESENTACION!F29+PRESENTACION!F30+PRESENTACION!F31+PRESENTACION!F32</f>
        <v>122214725</v>
      </c>
      <c r="I13" s="18"/>
      <c r="J13" s="16">
        <f>+D13-F13</f>
        <v>-45333352</v>
      </c>
      <c r="K13" s="18"/>
      <c r="L13" s="30">
        <f>+J13/F13</f>
        <v>-0.3056242460747346</v>
      </c>
    </row>
    <row r="14" spans="1:12" ht="15">
      <c r="A14" s="23"/>
      <c r="B14" s="124"/>
      <c r="C14" s="24"/>
      <c r="D14" s="284"/>
      <c r="E14" s="283"/>
      <c r="F14" s="284"/>
      <c r="G14" s="283"/>
      <c r="H14" s="285"/>
      <c r="I14" s="18"/>
      <c r="J14" s="17"/>
      <c r="K14" s="18"/>
      <c r="L14" s="26"/>
    </row>
    <row r="15" spans="1:13" ht="15">
      <c r="A15" s="23"/>
      <c r="B15" s="121" t="s">
        <v>80</v>
      </c>
      <c r="C15" s="24"/>
      <c r="D15" s="287">
        <f>SUM(D9:D14)</f>
        <v>1329167095.69</v>
      </c>
      <c r="E15" s="283"/>
      <c r="F15" s="287">
        <f>SUM(F9:F14)</f>
        <v>1605186431</v>
      </c>
      <c r="G15" s="287">
        <f>SUM(G9:G14)</f>
        <v>0</v>
      </c>
      <c r="H15" s="287">
        <f>SUM(H9:H14)</f>
        <v>1633273710</v>
      </c>
      <c r="I15" s="20"/>
      <c r="J15" s="20">
        <f>SUM(J9:J14)</f>
        <v>-276019335.31</v>
      </c>
      <c r="K15" s="20"/>
      <c r="L15" s="31">
        <f>SUM(L9:L14)</f>
        <v>0.18577144114503497</v>
      </c>
      <c r="M15" s="12"/>
    </row>
    <row r="16" spans="1:12" ht="15">
      <c r="A16" s="23"/>
      <c r="B16" s="124"/>
      <c r="C16" s="24"/>
      <c r="D16" s="284"/>
      <c r="E16" s="283"/>
      <c r="F16" s="284"/>
      <c r="G16" s="283"/>
      <c r="H16" s="285"/>
      <c r="I16" s="18"/>
      <c r="J16" s="17"/>
      <c r="K16" s="18"/>
      <c r="L16" s="26"/>
    </row>
    <row r="17" spans="1:12" ht="15">
      <c r="A17" s="23"/>
      <c r="B17" s="121" t="s">
        <v>84</v>
      </c>
      <c r="C17" s="24"/>
      <c r="D17" s="287"/>
      <c r="E17" s="283"/>
      <c r="F17" s="287"/>
      <c r="G17" s="283"/>
      <c r="H17" s="285"/>
      <c r="I17" s="18"/>
      <c r="J17" s="17"/>
      <c r="K17" s="18"/>
      <c r="L17" s="26"/>
    </row>
    <row r="18" spans="1:12" ht="15">
      <c r="A18" s="23"/>
      <c r="B18" s="124"/>
      <c r="C18" s="24"/>
      <c r="D18" s="284"/>
      <c r="E18" s="283"/>
      <c r="F18" s="284"/>
      <c r="G18" s="283"/>
      <c r="H18" s="285"/>
      <c r="I18" s="18"/>
      <c r="J18" s="17"/>
      <c r="K18" s="18"/>
      <c r="L18" s="26"/>
    </row>
    <row r="19" spans="1:12" ht="15">
      <c r="A19" s="23"/>
      <c r="B19" s="124" t="s">
        <v>85</v>
      </c>
      <c r="C19" s="24">
        <v>7</v>
      </c>
      <c r="D19" s="285">
        <f>+PRESENTACION!L34+PRESENTACION!L35+PRESENTACION!L36+PRESENTACION!L37+PRESENTACION!L38+PRESENTACION!L39</f>
        <v>809668748</v>
      </c>
      <c r="E19" s="283"/>
      <c r="F19" s="285">
        <f>+PRESENTACION!J34+PRESENTACION!J35+PRESENTACION!J36+PRESENTACION!J37+PRESENTACION!J38+PRESENTACION!J39</f>
        <v>800433601.391722</v>
      </c>
      <c r="G19" s="283"/>
      <c r="H19" s="285">
        <f>+PRESENTACION!F34+PRESENTACION!F35+PRESENTACION!F36+PRESENTACION!F37+PRESENTACION!F38+PRESENTACION!F39</f>
        <v>815100136.9</v>
      </c>
      <c r="I19" s="18"/>
      <c r="J19" s="17">
        <f>+D19-F19</f>
        <v>9235146.608278036</v>
      </c>
      <c r="K19" s="18"/>
      <c r="L19" s="29">
        <f>+J19/F19</f>
        <v>0.011537679817814736</v>
      </c>
    </row>
    <row r="20" spans="1:12" ht="15">
      <c r="A20" s="23"/>
      <c r="B20" s="124" t="s">
        <v>495</v>
      </c>
      <c r="C20" s="24">
        <v>8</v>
      </c>
      <c r="D20" s="285">
        <f>+PRESENTACION!L44</f>
        <v>44461233</v>
      </c>
      <c r="E20" s="283"/>
      <c r="F20" s="285">
        <f>+PRESENTACION!J44</f>
        <v>43580581.81</v>
      </c>
      <c r="G20" s="283"/>
      <c r="H20" s="285">
        <f>+PRESENTACION!F44</f>
        <v>35889688</v>
      </c>
      <c r="I20" s="18"/>
      <c r="J20" s="17">
        <f aca="true" t="shared" si="0" ref="J20:J25">+D20-F20</f>
        <v>880651.1899999976</v>
      </c>
      <c r="K20" s="18"/>
      <c r="L20" s="29">
        <f aca="true" t="shared" si="1" ref="L20:L25">+J20/F20</f>
        <v>0.020207421595228068</v>
      </c>
    </row>
    <row r="21" spans="1:12" ht="15">
      <c r="A21" s="23"/>
      <c r="B21" s="124" t="s">
        <v>33</v>
      </c>
      <c r="C21" s="24">
        <v>9</v>
      </c>
      <c r="D21" s="285">
        <f>+PRESENTACION!L42</f>
        <v>0</v>
      </c>
      <c r="E21" s="283"/>
      <c r="F21" s="285">
        <f>+PRESENTACION!J42</f>
        <v>0</v>
      </c>
      <c r="G21" s="283"/>
      <c r="H21" s="285">
        <f>+PRESENTACION!F42</f>
        <v>0</v>
      </c>
      <c r="I21" s="18"/>
      <c r="J21" s="17">
        <f t="shared" si="0"/>
        <v>0</v>
      </c>
      <c r="K21" s="18"/>
      <c r="L21" s="104">
        <v>0</v>
      </c>
    </row>
    <row r="22" spans="1:12" ht="15">
      <c r="A22" s="23"/>
      <c r="B22" s="124" t="s">
        <v>88</v>
      </c>
      <c r="C22" s="24"/>
      <c r="D22" s="285">
        <f>+PRESENTACION!L46+PRESENTACION!L47+PRESENTACION!L48+PRESENTACION!L49</f>
        <v>630708082</v>
      </c>
      <c r="E22" s="283"/>
      <c r="F22" s="285">
        <f>+PRESENTACION!J46+PRESENTACION!J47+PRESENTACION!J48+PRESENTACION!J49</f>
        <v>427639557</v>
      </c>
      <c r="G22" s="283"/>
      <c r="H22" s="285">
        <f>+PRESENTACION!F46+PRESENTACION!F47+PRESENTACION!F48+PRESENTACION!F49</f>
        <v>427639557</v>
      </c>
      <c r="I22" s="18"/>
      <c r="J22" s="17">
        <f t="shared" si="0"/>
        <v>203068525</v>
      </c>
      <c r="K22" s="18"/>
      <c r="L22" s="104">
        <f t="shared" si="1"/>
        <v>0.4748590762383565</v>
      </c>
    </row>
    <row r="23" spans="1:12" ht="15">
      <c r="A23" s="23"/>
      <c r="B23" s="124" t="s">
        <v>89</v>
      </c>
      <c r="C23" s="24"/>
      <c r="D23" s="285">
        <f>PRESENTACION!L50</f>
        <v>-453224624.22</v>
      </c>
      <c r="E23" s="283"/>
      <c r="F23" s="285">
        <f>PRESENTACION!J50</f>
        <v>-427639557</v>
      </c>
      <c r="G23" s="283"/>
      <c r="H23" s="285">
        <f>PRESENTACION!F50</f>
        <v>-427639557</v>
      </c>
      <c r="I23" s="18"/>
      <c r="J23" s="17">
        <f t="shared" si="0"/>
        <v>-25585067.22000003</v>
      </c>
      <c r="K23" s="18"/>
      <c r="L23" s="104">
        <f t="shared" si="1"/>
        <v>0.05982857946885402</v>
      </c>
    </row>
    <row r="24" spans="1:12" ht="15">
      <c r="A24" s="23"/>
      <c r="B24" s="124" t="s">
        <v>87</v>
      </c>
      <c r="C24" s="24"/>
      <c r="D24" s="285">
        <f>+PRESENTACION!L52+PRESENTACION!L53</f>
        <v>121595199.02</v>
      </c>
      <c r="E24" s="283"/>
      <c r="F24" s="285">
        <f>+PRESENTACION!J52+PRESENTACION!J53</f>
        <v>121595197</v>
      </c>
      <c r="G24" s="283"/>
      <c r="H24" s="285">
        <f>+PRESENTACION!F52+PRESENTACION!F53</f>
        <v>121595197</v>
      </c>
      <c r="I24" s="18"/>
      <c r="J24" s="17">
        <f t="shared" si="0"/>
        <v>2.019999995827675</v>
      </c>
      <c r="K24" s="18"/>
      <c r="L24" s="104">
        <f t="shared" si="1"/>
        <v>1.661249823730846E-08</v>
      </c>
    </row>
    <row r="25" spans="1:12" ht="15">
      <c r="A25" s="23"/>
      <c r="B25" s="124" t="s">
        <v>39</v>
      </c>
      <c r="C25" s="24"/>
      <c r="D25" s="285">
        <f>+PRESENTACION!L57</f>
        <v>0</v>
      </c>
      <c r="E25" s="283"/>
      <c r="F25" s="285">
        <f>+PRESENTACION!J57</f>
        <v>0</v>
      </c>
      <c r="G25" s="283"/>
      <c r="H25" s="285">
        <f>+PRESENTACION!F57</f>
        <v>0</v>
      </c>
      <c r="I25" s="18"/>
      <c r="J25" s="16">
        <f t="shared" si="0"/>
        <v>0</v>
      </c>
      <c r="K25" s="18"/>
      <c r="L25" s="104" t="e">
        <f t="shared" si="1"/>
        <v>#DIV/0!</v>
      </c>
    </row>
    <row r="26" spans="1:12" ht="15">
      <c r="A26" s="23"/>
      <c r="B26" s="124"/>
      <c r="C26" s="24"/>
      <c r="D26" s="284"/>
      <c r="E26" s="283"/>
      <c r="F26" s="284"/>
      <c r="G26" s="283"/>
      <c r="H26" s="285"/>
      <c r="I26" s="18"/>
      <c r="J26" s="17"/>
      <c r="K26" s="18"/>
      <c r="L26" s="26"/>
    </row>
    <row r="27" spans="1:14" ht="15">
      <c r="A27" s="23"/>
      <c r="B27" s="121" t="s">
        <v>90</v>
      </c>
      <c r="C27" s="24"/>
      <c r="D27" s="287">
        <f>SUM(D19:D26)</f>
        <v>1153208637.8</v>
      </c>
      <c r="E27" s="283"/>
      <c r="F27" s="287">
        <f>SUM(F19:F26)</f>
        <v>965609380.2017219</v>
      </c>
      <c r="G27" s="287">
        <f>SUM(G19:G26)</f>
        <v>0</v>
      </c>
      <c r="H27" s="287">
        <f>SUM(H19:H26)</f>
        <v>972585021.9000001</v>
      </c>
      <c r="I27" s="20"/>
      <c r="J27" s="20">
        <f>SUM(J19:J26)</f>
        <v>187599257.598278</v>
      </c>
      <c r="K27" s="20"/>
      <c r="L27" s="31" t="e">
        <f>SUM(L19:L26)</f>
        <v>#DIV/0!</v>
      </c>
      <c r="M27" s="12"/>
      <c r="N27" s="12"/>
    </row>
    <row r="28" spans="1:12" ht="15">
      <c r="A28" s="23"/>
      <c r="B28" s="124"/>
      <c r="C28" s="24"/>
      <c r="D28" s="284"/>
      <c r="E28" s="283"/>
      <c r="F28" s="284"/>
      <c r="G28" s="283"/>
      <c r="H28" s="285"/>
      <c r="I28" s="18"/>
      <c r="J28" s="17"/>
      <c r="K28" s="18"/>
      <c r="L28" s="26"/>
    </row>
    <row r="29" spans="1:13" ht="15">
      <c r="A29" s="23"/>
      <c r="B29" s="121" t="s">
        <v>41</v>
      </c>
      <c r="C29" s="24"/>
      <c r="D29" s="287">
        <f>+D15+D27</f>
        <v>2482375733.49</v>
      </c>
      <c r="E29" s="287">
        <f>+E15+E27</f>
        <v>0</v>
      </c>
      <c r="F29" s="287">
        <f>+F15+F27</f>
        <v>2570795811.201722</v>
      </c>
      <c r="G29" s="287">
        <f>+G15+G27</f>
        <v>0</v>
      </c>
      <c r="H29" s="287">
        <f>+H15+H27</f>
        <v>2605858731.9</v>
      </c>
      <c r="I29" s="20"/>
      <c r="J29" s="20">
        <f>+J15+J27</f>
        <v>-88420077.71172202</v>
      </c>
      <c r="K29" s="20"/>
      <c r="L29" s="31" t="e">
        <f>+L15+L27</f>
        <v>#DIV/0!</v>
      </c>
      <c r="M29" s="12"/>
    </row>
    <row r="30" spans="1:13" ht="15">
      <c r="A30" s="23"/>
      <c r="B30" s="121"/>
      <c r="C30" s="24"/>
      <c r="E30" s="283"/>
      <c r="F30" s="287"/>
      <c r="G30" s="287"/>
      <c r="H30" s="289"/>
      <c r="I30" s="20"/>
      <c r="J30" s="20"/>
      <c r="K30" s="20"/>
      <c r="L30" s="32"/>
      <c r="M30" s="12"/>
    </row>
    <row r="31" spans="1:12" ht="15">
      <c r="A31" s="23"/>
      <c r="B31" s="121" t="s">
        <v>102</v>
      </c>
      <c r="C31" s="24"/>
      <c r="D31" s="287">
        <v>53390900</v>
      </c>
      <c r="E31" s="283"/>
      <c r="F31" s="287">
        <v>683842000</v>
      </c>
      <c r="G31" s="287"/>
      <c r="H31" s="289">
        <v>683842000</v>
      </c>
      <c r="I31" s="20"/>
      <c r="J31" s="20">
        <f>+J17+J29</f>
        <v>-88420077.71172202</v>
      </c>
      <c r="K31" s="20"/>
      <c r="L31" s="31" t="e">
        <f>+L17+L29</f>
        <v>#DIV/0!</v>
      </c>
    </row>
    <row r="32" spans="1:12" ht="15">
      <c r="A32" s="23"/>
      <c r="B32" s="121"/>
      <c r="C32" s="24"/>
      <c r="D32" s="287"/>
      <c r="E32" s="283"/>
      <c r="F32" s="287"/>
      <c r="G32" s="287"/>
      <c r="H32" s="289"/>
      <c r="I32" s="20"/>
      <c r="J32" s="20"/>
      <c r="K32" s="20"/>
      <c r="L32" s="32"/>
    </row>
    <row r="33" spans="1:12" ht="15">
      <c r="A33" s="23"/>
      <c r="B33" s="121" t="s">
        <v>42</v>
      </c>
      <c r="C33" s="24"/>
      <c r="D33" s="287"/>
      <c r="E33" s="283"/>
      <c r="F33" s="287"/>
      <c r="G33" s="283"/>
      <c r="H33" s="285"/>
      <c r="I33" s="18"/>
      <c r="J33" s="17"/>
      <c r="K33" s="18"/>
      <c r="L33" s="26"/>
    </row>
    <row r="34" spans="1:12" ht="15">
      <c r="A34" s="23"/>
      <c r="B34" s="124"/>
      <c r="C34" s="24"/>
      <c r="D34" s="284"/>
      <c r="E34" s="283"/>
      <c r="F34" s="284"/>
      <c r="G34" s="283"/>
      <c r="H34" s="285"/>
      <c r="I34" s="18"/>
      <c r="J34" s="17"/>
      <c r="K34" s="18"/>
      <c r="L34" s="26"/>
    </row>
    <row r="35" spans="1:14" ht="15">
      <c r="A35" s="23"/>
      <c r="B35" s="127" t="s">
        <v>94</v>
      </c>
      <c r="C35" s="24">
        <v>10</v>
      </c>
      <c r="D35" s="285">
        <f>+PRESENTACION!L63+PRESENTACION!L64</f>
        <v>239826560</v>
      </c>
      <c r="E35" s="283"/>
      <c r="F35" s="285">
        <f>+PRESENTACION!J63+PRESENTACION!J64</f>
        <v>389003545</v>
      </c>
      <c r="G35" s="283"/>
      <c r="H35" s="285">
        <f>+PRESENTACION!F63+PRESENTACION!F64</f>
        <v>352896616</v>
      </c>
      <c r="I35" s="18"/>
      <c r="J35" s="17">
        <f>+D35-F35</f>
        <v>-149176985</v>
      </c>
      <c r="K35" s="18"/>
      <c r="L35" s="29">
        <f aca="true" t="shared" si="2" ref="L35:L41">+J35/F35</f>
        <v>-0.38348489857592427</v>
      </c>
      <c r="N35" s="12"/>
    </row>
    <row r="36" spans="1:14" ht="15">
      <c r="A36" s="23"/>
      <c r="B36" s="127" t="s">
        <v>95</v>
      </c>
      <c r="C36" s="24">
        <v>11</v>
      </c>
      <c r="D36" s="290">
        <f>+PRESENTACION!L65+PRESENTACION!L66+PRESENTACION!L68+PRESENTACION!L67+PRESENTACION!L71</f>
        <v>881444334</v>
      </c>
      <c r="E36" s="283"/>
      <c r="F36" s="290">
        <f>+PRESENTACION!J65+PRESENTACION!J66+PRESENTACION!J68+PRESENTACION!J67+PRESENTACION!J71</f>
        <v>867961426</v>
      </c>
      <c r="G36" s="284"/>
      <c r="H36" s="290">
        <f>+PRESENTACION!F65+PRESENTACION!F66+PRESENTACION!F68+PRESENTACION!F67+PRESENTACION!F71</f>
        <v>992759262</v>
      </c>
      <c r="I36" s="144"/>
      <c r="J36" s="113">
        <f aca="true" t="shared" si="3" ref="J36:J41">+D36-F36</f>
        <v>13482908</v>
      </c>
      <c r="K36" s="18"/>
      <c r="L36" s="29">
        <f t="shared" si="2"/>
        <v>0.015533994479611816</v>
      </c>
      <c r="N36" s="12"/>
    </row>
    <row r="37" spans="1:14" ht="15">
      <c r="A37" s="23"/>
      <c r="B37" s="127" t="s">
        <v>96</v>
      </c>
      <c r="C37" s="24">
        <v>12</v>
      </c>
      <c r="D37" s="285">
        <f>+PRESENTACION!L69+PRESENTACION!L70</f>
        <v>3332724</v>
      </c>
      <c r="E37" s="283"/>
      <c r="F37" s="285">
        <f>+PRESENTACION!J69+PRESENTACION!J70</f>
        <v>3805693</v>
      </c>
      <c r="G37" s="283"/>
      <c r="H37" s="285">
        <f>+PRESENTACION!F69+PRESENTACION!F70</f>
        <v>13445538</v>
      </c>
      <c r="I37" s="18"/>
      <c r="J37" s="113">
        <f t="shared" si="3"/>
        <v>-472969</v>
      </c>
      <c r="K37" s="18"/>
      <c r="L37" s="29">
        <f t="shared" si="2"/>
        <v>-0.12427933624703832</v>
      </c>
      <c r="N37" s="12"/>
    </row>
    <row r="38" spans="1:14" ht="15">
      <c r="A38" s="23"/>
      <c r="B38" s="127" t="s">
        <v>97</v>
      </c>
      <c r="C38" s="24">
        <v>13</v>
      </c>
      <c r="D38" s="285">
        <f>+PRESENTACION!L75+PRESENTACION!L76</f>
        <v>114936414.55</v>
      </c>
      <c r="E38" s="283"/>
      <c r="F38" s="285">
        <f>+PRESENTACION!J75+PRESENTACION!J76</f>
        <v>39587358</v>
      </c>
      <c r="G38" s="283"/>
      <c r="H38" s="285">
        <f>+PRESENTACION!F75+PRESENTACION!F76</f>
        <v>25359630</v>
      </c>
      <c r="I38" s="18"/>
      <c r="J38" s="113">
        <f t="shared" si="3"/>
        <v>75349056.55</v>
      </c>
      <c r="K38" s="18"/>
      <c r="L38" s="29">
        <f t="shared" si="2"/>
        <v>1.903361587050088</v>
      </c>
      <c r="N38" s="12"/>
    </row>
    <row r="39" spans="1:14" ht="15">
      <c r="A39" s="23"/>
      <c r="B39" s="127" t="s">
        <v>99</v>
      </c>
      <c r="C39" s="24">
        <v>14</v>
      </c>
      <c r="D39" s="285">
        <f>+PRESENTACION!L78</f>
        <v>27380062</v>
      </c>
      <c r="E39" s="283"/>
      <c r="F39" s="285">
        <f>+PRESENTACION!J78</f>
        <v>26234828</v>
      </c>
      <c r="G39" s="283"/>
      <c r="H39" s="285">
        <f>+PRESENTACION!F78</f>
        <v>23917884</v>
      </c>
      <c r="I39" s="18"/>
      <c r="J39" s="113">
        <f t="shared" si="3"/>
        <v>1145234</v>
      </c>
      <c r="K39" s="18"/>
      <c r="L39" s="29">
        <f t="shared" si="2"/>
        <v>0.043653192618606076</v>
      </c>
      <c r="N39" s="12"/>
    </row>
    <row r="40" spans="1:12" ht="15">
      <c r="A40" s="23"/>
      <c r="B40" s="127" t="s">
        <v>100</v>
      </c>
      <c r="C40" s="24">
        <v>14</v>
      </c>
      <c r="D40" s="290">
        <v>0</v>
      </c>
      <c r="E40" s="283"/>
      <c r="F40" s="290">
        <f>+PRESENTACION!J79</f>
        <v>52066727</v>
      </c>
      <c r="G40" s="284"/>
      <c r="H40" s="290">
        <v>0</v>
      </c>
      <c r="I40" s="144"/>
      <c r="J40" s="113">
        <f t="shared" si="3"/>
        <v>-52066727</v>
      </c>
      <c r="K40" s="18"/>
      <c r="L40" s="29">
        <f t="shared" si="2"/>
        <v>-1</v>
      </c>
    </row>
    <row r="41" spans="1:14" ht="15">
      <c r="A41" s="23"/>
      <c r="B41" s="127" t="s">
        <v>98</v>
      </c>
      <c r="C41" s="24">
        <v>14</v>
      </c>
      <c r="D41" s="285">
        <f>+PRESENTACION!L82+PRESENTACION!L81</f>
        <v>0</v>
      </c>
      <c r="E41" s="283"/>
      <c r="F41" s="285">
        <f>+PRESENTACION!J82+PRESENTACION!J81</f>
        <v>12101360</v>
      </c>
      <c r="G41" s="283"/>
      <c r="H41" s="285">
        <f>+PRESENTACION!F82+PRESENTACION!F81</f>
        <v>82362650</v>
      </c>
      <c r="I41" s="18"/>
      <c r="J41" s="113">
        <f t="shared" si="3"/>
        <v>-12101360</v>
      </c>
      <c r="K41" s="18"/>
      <c r="L41" s="30">
        <f t="shared" si="2"/>
        <v>-1</v>
      </c>
      <c r="N41" s="12"/>
    </row>
    <row r="42" spans="1:12" ht="15">
      <c r="A42" s="23"/>
      <c r="B42" s="124"/>
      <c r="C42" s="24"/>
      <c r="D42" s="284"/>
      <c r="E42" s="283"/>
      <c r="F42" s="284"/>
      <c r="G42" s="283"/>
      <c r="H42" s="285"/>
      <c r="I42" s="18"/>
      <c r="J42" s="17"/>
      <c r="K42" s="18"/>
      <c r="L42" s="29"/>
    </row>
    <row r="43" spans="1:15" ht="15">
      <c r="A43" s="23"/>
      <c r="B43" s="121" t="s">
        <v>101</v>
      </c>
      <c r="C43" s="24"/>
      <c r="D43" s="287">
        <f>SUM(D35:D41)</f>
        <v>1266920094.55</v>
      </c>
      <c r="E43" s="283"/>
      <c r="F43" s="287">
        <f>SUM(F35:F42)</f>
        <v>1390760937</v>
      </c>
      <c r="G43" s="287">
        <f>SUM(G35:G42)</f>
        <v>0</v>
      </c>
      <c r="H43" s="287">
        <f>SUM(H35:H42)</f>
        <v>1490741580</v>
      </c>
      <c r="I43" s="21"/>
      <c r="J43" s="20">
        <f>SUM(J35:J42)</f>
        <v>-123840842.45</v>
      </c>
      <c r="K43" s="21"/>
      <c r="L43" s="31">
        <f>+J43/F43</f>
        <v>-0.08904538454835823</v>
      </c>
      <c r="M43" s="12"/>
      <c r="N43" s="12"/>
      <c r="O43" s="12"/>
    </row>
    <row r="44" spans="1:12" ht="15">
      <c r="A44" s="23"/>
      <c r="B44" s="124"/>
      <c r="C44" s="24"/>
      <c r="D44" s="284"/>
      <c r="E44" s="283"/>
      <c r="F44" s="284"/>
      <c r="G44" s="283"/>
      <c r="H44" s="285"/>
      <c r="I44" s="18"/>
      <c r="J44" s="17"/>
      <c r="K44" s="18"/>
      <c r="L44" s="26"/>
    </row>
    <row r="45" spans="1:12" ht="15">
      <c r="A45" s="23"/>
      <c r="B45" s="121" t="s">
        <v>64</v>
      </c>
      <c r="C45" s="24"/>
      <c r="D45" s="287"/>
      <c r="E45" s="283"/>
      <c r="F45" s="287"/>
      <c r="G45" s="283"/>
      <c r="H45" s="285"/>
      <c r="I45" s="18"/>
      <c r="J45" s="17"/>
      <c r="K45" s="18"/>
      <c r="L45" s="26"/>
    </row>
    <row r="46" spans="1:12" ht="15">
      <c r="A46" s="23"/>
      <c r="B46" s="124"/>
      <c r="C46" s="24"/>
      <c r="D46" s="284"/>
      <c r="E46" s="283"/>
      <c r="F46" s="284"/>
      <c r="G46" s="283"/>
      <c r="H46" s="285"/>
      <c r="I46" s="18"/>
      <c r="J46" s="17"/>
      <c r="K46" s="18"/>
      <c r="L46" s="26"/>
    </row>
    <row r="47" spans="1:12" ht="15">
      <c r="A47" s="23"/>
      <c r="B47" s="124" t="s">
        <v>103</v>
      </c>
      <c r="C47" s="24">
        <v>15</v>
      </c>
      <c r="D47" s="285">
        <f>+PRESENTACION!L91</f>
        <v>398219652</v>
      </c>
      <c r="E47" s="283"/>
      <c r="F47" s="285">
        <f>+PRESENTACION!J91</f>
        <v>398642462.81</v>
      </c>
      <c r="G47" s="283"/>
      <c r="H47" s="285">
        <f>+PRESENTACION!F91</f>
        <v>381290478</v>
      </c>
      <c r="I47" s="18"/>
      <c r="J47" s="17">
        <f aca="true" t="shared" si="4" ref="J47:J54">+D47-F47</f>
        <v>-422810.8100000024</v>
      </c>
      <c r="K47" s="18"/>
      <c r="L47" s="29">
        <f aca="true" t="shared" si="5" ref="L47:L54">+J47/F47</f>
        <v>-0.0010606266252211106</v>
      </c>
    </row>
    <row r="48" spans="1:12" ht="15">
      <c r="A48" s="23"/>
      <c r="B48" s="124" t="s">
        <v>104</v>
      </c>
      <c r="C48" s="24">
        <v>16</v>
      </c>
      <c r="D48" s="285">
        <f>+PRESENTACION!L93</f>
        <v>151864711</v>
      </c>
      <c r="E48" s="283"/>
      <c r="F48" s="285">
        <f>+PRESENTACION!J93</f>
        <v>151864711</v>
      </c>
      <c r="G48" s="283"/>
      <c r="H48" s="285">
        <f>+PRESENTACION!F93</f>
        <v>151864711</v>
      </c>
      <c r="I48" s="18"/>
      <c r="J48" s="17">
        <f t="shared" si="4"/>
        <v>0</v>
      </c>
      <c r="K48" s="18"/>
      <c r="L48" s="29">
        <f t="shared" si="5"/>
        <v>0</v>
      </c>
    </row>
    <row r="49" spans="1:12" ht="15">
      <c r="A49" s="23"/>
      <c r="B49" s="124" t="s">
        <v>105</v>
      </c>
      <c r="C49" s="24">
        <v>17</v>
      </c>
      <c r="D49" s="285">
        <f>+PRESENTACION!L95+PRESENTACION!L96+PRESENTACION!L97+PRESENTACION!L98</f>
        <v>604647586</v>
      </c>
      <c r="E49" s="283"/>
      <c r="F49" s="285">
        <f>+PRESENTACION!J95+PRESENTACION!J96+PRESENTACION!J97+PRESENTACION!J98</f>
        <v>604647585</v>
      </c>
      <c r="G49" s="283"/>
      <c r="H49" s="285">
        <f>+PRESENTACION!F95+PRESENTACION!F96+PRESENTACION!F97+PRESENTACION!F98</f>
        <v>604647585</v>
      </c>
      <c r="I49" s="18"/>
      <c r="J49" s="17">
        <f t="shared" si="4"/>
        <v>1</v>
      </c>
      <c r="K49" s="18"/>
      <c r="L49" s="29">
        <f t="shared" si="5"/>
        <v>1.6538559399025799E-09</v>
      </c>
    </row>
    <row r="50" spans="1:12" ht="15">
      <c r="A50" s="23"/>
      <c r="B50" s="124" t="s">
        <v>106</v>
      </c>
      <c r="C50" s="24"/>
      <c r="D50" s="285"/>
      <c r="E50" s="283"/>
      <c r="F50" s="285"/>
      <c r="G50" s="283"/>
      <c r="H50" s="285"/>
      <c r="I50" s="18"/>
      <c r="J50" s="17">
        <f t="shared" si="4"/>
        <v>0</v>
      </c>
      <c r="K50" s="18"/>
      <c r="L50" s="29">
        <v>0</v>
      </c>
    </row>
    <row r="51" spans="1:12" ht="15">
      <c r="A51" s="23"/>
      <c r="B51" s="124" t="s">
        <v>72</v>
      </c>
      <c r="C51" s="24"/>
      <c r="D51" s="285">
        <f>+PRESENTACION!L100</f>
        <v>4285400</v>
      </c>
      <c r="E51" s="283"/>
      <c r="F51" s="285">
        <f>+PRESENTACION!J100</f>
        <v>4285400</v>
      </c>
      <c r="G51" s="283"/>
      <c r="H51" s="285">
        <f>+PRESENTACION!F100</f>
        <v>4285400</v>
      </c>
      <c r="I51" s="18"/>
      <c r="J51" s="17">
        <f t="shared" si="4"/>
        <v>0</v>
      </c>
      <c r="K51" s="18"/>
      <c r="L51" s="29">
        <f t="shared" si="5"/>
        <v>0</v>
      </c>
    </row>
    <row r="52" spans="1:12" ht="15">
      <c r="A52" s="23"/>
      <c r="B52" s="124" t="s">
        <v>39</v>
      </c>
      <c r="C52" s="24"/>
      <c r="D52" s="285">
        <f>+PRESENTACION!L101</f>
        <v>0</v>
      </c>
      <c r="E52" s="283"/>
      <c r="F52" s="285">
        <f>+PRESENTACION!J101</f>
        <v>0</v>
      </c>
      <c r="G52" s="283"/>
      <c r="H52" s="285">
        <f>+PRESENTACION!F101</f>
        <v>0</v>
      </c>
      <c r="I52" s="18"/>
      <c r="J52" s="17">
        <f t="shared" si="4"/>
        <v>0</v>
      </c>
      <c r="K52" s="18"/>
      <c r="L52" s="29" t="e">
        <f t="shared" si="5"/>
        <v>#DIV/0!</v>
      </c>
    </row>
    <row r="53" spans="1:12" ht="15">
      <c r="A53" s="23"/>
      <c r="B53" s="124" t="s">
        <v>107</v>
      </c>
      <c r="C53" s="24">
        <v>18</v>
      </c>
      <c r="D53" s="285">
        <f>+PRESENTACION!L103</f>
        <v>35843563.25999963</v>
      </c>
      <c r="E53" s="283"/>
      <c r="F53" s="285">
        <f>+PRESENTACION!J103</f>
        <v>47565737.49</v>
      </c>
      <c r="G53" s="283"/>
      <c r="H53" s="285">
        <f>+PRESENTACION!F103</f>
        <v>-454726097</v>
      </c>
      <c r="I53" s="18"/>
      <c r="J53" s="17">
        <f t="shared" si="4"/>
        <v>-11722174.23000037</v>
      </c>
      <c r="K53" s="18"/>
      <c r="L53" s="29">
        <f t="shared" si="5"/>
        <v>-0.24644155328117817</v>
      </c>
    </row>
    <row r="54" spans="1:12" ht="36.75" customHeight="1">
      <c r="A54" s="23"/>
      <c r="B54" s="124" t="s">
        <v>108</v>
      </c>
      <c r="C54" s="24"/>
      <c r="D54" s="284">
        <f>+PRESENTACION!L104</f>
        <v>-585930194.21</v>
      </c>
      <c r="E54" s="283"/>
      <c r="F54" s="284">
        <f>+PRESENTACION!J104</f>
        <v>-633495942</v>
      </c>
      <c r="G54" s="283"/>
      <c r="H54" s="284">
        <f>+PRESENTACION!F104</f>
        <v>-178769845</v>
      </c>
      <c r="I54" s="18"/>
      <c r="J54" s="144">
        <f t="shared" si="4"/>
        <v>47565747.78999996</v>
      </c>
      <c r="K54" s="18"/>
      <c r="L54" s="151">
        <f t="shared" si="5"/>
        <v>-0.07508453430629862</v>
      </c>
    </row>
    <row r="55" spans="1:12" ht="15">
      <c r="A55" s="23"/>
      <c r="B55" s="124" t="s">
        <v>533</v>
      </c>
      <c r="C55" s="258"/>
      <c r="D55" s="291">
        <f>+PRESENTACION!L106</f>
        <v>606524919.9</v>
      </c>
      <c r="E55" s="283"/>
      <c r="F55" s="291">
        <f>+PRESENTACION!J106</f>
        <v>606524919.9</v>
      </c>
      <c r="G55" s="283"/>
      <c r="H55" s="291">
        <f>+PRESENTACION!F106</f>
        <v>606524919.899125</v>
      </c>
      <c r="I55" s="18"/>
      <c r="J55" s="291">
        <f>+D55-F55</f>
        <v>0</v>
      </c>
      <c r="K55" s="18"/>
      <c r="L55" s="466">
        <f>+J55/F55</f>
        <v>0</v>
      </c>
    </row>
    <row r="56" spans="1:12" ht="15">
      <c r="A56" s="23"/>
      <c r="B56" s="124"/>
      <c r="C56" s="24"/>
      <c r="D56" s="284"/>
      <c r="E56" s="283"/>
      <c r="F56" s="284"/>
      <c r="G56" s="283"/>
      <c r="H56" s="285"/>
      <c r="I56" s="18"/>
      <c r="J56" s="17"/>
      <c r="K56" s="18"/>
      <c r="L56" s="26"/>
    </row>
    <row r="57" spans="1:12" s="9" customFormat="1" ht="15">
      <c r="A57" s="34"/>
      <c r="B57" s="121" t="s">
        <v>75</v>
      </c>
      <c r="C57" s="24"/>
      <c r="D57" s="454">
        <f>SUM(D47:D56)</f>
        <v>1215455637.9499998</v>
      </c>
      <c r="E57" s="286"/>
      <c r="F57" s="287">
        <f>SUM(F47:F56)</f>
        <v>1180034874.1999998</v>
      </c>
      <c r="G57" s="287">
        <f>SUM(G47:G56)</f>
        <v>0</v>
      </c>
      <c r="H57" s="287">
        <f>SUM(H47:H56)</f>
        <v>1115117151.899125</v>
      </c>
      <c r="I57" s="20"/>
      <c r="J57" s="20">
        <f>SUM(J47:J56)</f>
        <v>35420763.74999959</v>
      </c>
      <c r="K57" s="20"/>
      <c r="L57" s="43" t="e">
        <f>SUM(L47:L56)</f>
        <v>#DIV/0!</v>
      </c>
    </row>
    <row r="58" spans="1:12" ht="15">
      <c r="A58" s="23"/>
      <c r="B58" s="124"/>
      <c r="C58" s="24"/>
      <c r="D58" s="284"/>
      <c r="E58" s="283"/>
      <c r="F58" s="284"/>
      <c r="G58" s="283"/>
      <c r="H58" s="285"/>
      <c r="I58" s="18"/>
      <c r="J58" s="17"/>
      <c r="K58" s="18"/>
      <c r="L58" s="26"/>
    </row>
    <row r="59" spans="1:12" s="9" customFormat="1" ht="15">
      <c r="A59" s="34"/>
      <c r="B59" s="121" t="s">
        <v>109</v>
      </c>
      <c r="C59" s="24"/>
      <c r="D59" s="287">
        <f>+D43+D57</f>
        <v>2482375732.5</v>
      </c>
      <c r="E59" s="286"/>
      <c r="F59" s="287">
        <f>+F43+F57</f>
        <v>2570795811.2</v>
      </c>
      <c r="G59" s="287">
        <f>+G43+G57</f>
        <v>0</v>
      </c>
      <c r="H59" s="287">
        <f>+H43+H57</f>
        <v>2605858731.899125</v>
      </c>
      <c r="I59" s="20"/>
      <c r="J59" s="20">
        <f>+J43+J57</f>
        <v>-88420078.7000004</v>
      </c>
      <c r="K59" s="20"/>
      <c r="L59" s="43" t="e">
        <f>+L43+L57</f>
        <v>#DIV/0!</v>
      </c>
    </row>
    <row r="60" spans="1:12" ht="15">
      <c r="A60" s="23"/>
      <c r="B60" s="124"/>
      <c r="C60" s="24"/>
      <c r="D60" s="284"/>
      <c r="E60" s="283"/>
      <c r="F60" s="284"/>
      <c r="G60" s="284"/>
      <c r="H60" s="290"/>
      <c r="I60" s="144"/>
      <c r="J60" s="17"/>
      <c r="K60" s="18"/>
      <c r="L60" s="43"/>
    </row>
    <row r="61" spans="1:12" s="9" customFormat="1" ht="15">
      <c r="A61" s="34"/>
      <c r="B61" s="121" t="s">
        <v>110</v>
      </c>
      <c r="C61" s="24">
        <v>19</v>
      </c>
      <c r="D61" s="287">
        <v>53390900</v>
      </c>
      <c r="E61" s="286"/>
      <c r="F61" s="287">
        <v>683842000</v>
      </c>
      <c r="G61" s="287"/>
      <c r="H61" s="289">
        <v>683842000</v>
      </c>
      <c r="I61" s="20"/>
      <c r="J61" s="20">
        <f>+J31</f>
        <v>-88420077.71172202</v>
      </c>
      <c r="K61" s="20"/>
      <c r="L61" s="43" t="e">
        <f>+L31</f>
        <v>#DIV/0!</v>
      </c>
    </row>
    <row r="62" spans="1:12" ht="15">
      <c r="A62" s="23"/>
      <c r="B62" s="124"/>
      <c r="C62" s="24"/>
      <c r="D62" s="283"/>
      <c r="E62" s="283"/>
      <c r="F62" s="284"/>
      <c r="G62" s="283"/>
      <c r="H62" s="285"/>
      <c r="I62" s="18"/>
      <c r="J62" s="17"/>
      <c r="K62" s="18"/>
      <c r="L62" s="26"/>
    </row>
    <row r="63" spans="1:12" ht="30">
      <c r="A63" s="23"/>
      <c r="B63" s="121" t="s">
        <v>122</v>
      </c>
      <c r="C63" s="24"/>
      <c r="D63" s="283"/>
      <c r="E63" s="283"/>
      <c r="F63" s="284"/>
      <c r="G63" s="283"/>
      <c r="H63" s="285"/>
      <c r="I63" s="18"/>
      <c r="J63" s="17"/>
      <c r="K63" s="18"/>
      <c r="L63" s="26"/>
    </row>
    <row r="64" spans="1:12" ht="15">
      <c r="A64" s="23"/>
      <c r="B64" s="128" t="str">
        <f>+J73</f>
        <v>"VER OPINION ADJUNTA"</v>
      </c>
      <c r="C64" s="24"/>
      <c r="D64" s="283"/>
      <c r="E64" s="283"/>
      <c r="F64" s="284"/>
      <c r="G64" s="283"/>
      <c r="H64" s="285"/>
      <c r="I64" s="18"/>
      <c r="J64" s="17"/>
      <c r="K64" s="18"/>
      <c r="L64" s="26"/>
    </row>
    <row r="65" spans="1:12" ht="15">
      <c r="A65" s="23"/>
      <c r="B65" s="128"/>
      <c r="C65" s="24"/>
      <c r="D65" s="283"/>
      <c r="E65" s="283"/>
      <c r="F65" s="284"/>
      <c r="G65" s="283"/>
      <c r="H65" s="285"/>
      <c r="I65" s="18"/>
      <c r="J65" s="17"/>
      <c r="K65" s="18"/>
      <c r="L65" s="26"/>
    </row>
    <row r="66" spans="1:12" ht="15">
      <c r="A66" s="23"/>
      <c r="B66" s="128"/>
      <c r="C66" s="24"/>
      <c r="D66" s="283"/>
      <c r="E66" s="283"/>
      <c r="F66" s="284"/>
      <c r="G66" s="283"/>
      <c r="H66" s="285"/>
      <c r="I66" s="18"/>
      <c r="J66" s="17"/>
      <c r="K66" s="18"/>
      <c r="L66" s="26"/>
    </row>
    <row r="67" spans="1:12" ht="15">
      <c r="A67" s="23"/>
      <c r="B67" s="128"/>
      <c r="C67" s="24"/>
      <c r="D67" s="283"/>
      <c r="E67" s="283"/>
      <c r="F67" s="284"/>
      <c r="G67" s="283"/>
      <c r="H67" s="285"/>
      <c r="I67" s="18"/>
      <c r="J67" s="17"/>
      <c r="K67" s="18"/>
      <c r="L67" s="26"/>
    </row>
    <row r="68" spans="1:12" ht="15">
      <c r="A68" s="23"/>
      <c r="B68" s="124"/>
      <c r="C68" s="24"/>
      <c r="D68" s="283"/>
      <c r="E68" s="283"/>
      <c r="F68" s="284"/>
      <c r="G68" s="283"/>
      <c r="H68" s="285"/>
      <c r="I68" s="18"/>
      <c r="J68" s="17"/>
      <c r="K68" s="18"/>
      <c r="L68" s="26"/>
    </row>
    <row r="69" spans="1:12" ht="15">
      <c r="A69" s="23"/>
      <c r="B69" s="121"/>
      <c r="C69" s="24"/>
      <c r="D69" s="491"/>
      <c r="E69" s="491"/>
      <c r="F69" s="491"/>
      <c r="G69" s="283"/>
      <c r="H69" s="285"/>
      <c r="I69" s="18"/>
      <c r="J69" s="487"/>
      <c r="K69" s="487"/>
      <c r="L69" s="488"/>
    </row>
    <row r="70" spans="1:12" ht="15">
      <c r="A70" s="23"/>
      <c r="B70" s="121" t="s">
        <v>113</v>
      </c>
      <c r="C70" s="24"/>
      <c r="E70" s="299"/>
      <c r="F70" s="299" t="s">
        <v>115</v>
      </c>
      <c r="G70" s="283"/>
      <c r="H70" s="285"/>
      <c r="I70" s="18"/>
      <c r="J70" s="487" t="s">
        <v>118</v>
      </c>
      <c r="K70" s="487"/>
      <c r="L70" s="488"/>
    </row>
    <row r="71" spans="1:12" ht="15">
      <c r="A71" s="23"/>
      <c r="B71" s="121" t="s">
        <v>114</v>
      </c>
      <c r="C71" s="24"/>
      <c r="E71" s="299"/>
      <c r="F71" s="299" t="s">
        <v>116</v>
      </c>
      <c r="G71" s="283"/>
      <c r="H71" s="285"/>
      <c r="I71" s="18"/>
      <c r="J71" s="487" t="s">
        <v>119</v>
      </c>
      <c r="K71" s="487"/>
      <c r="L71" s="488"/>
    </row>
    <row r="72" spans="1:12" ht="15">
      <c r="A72" s="23"/>
      <c r="B72" s="124"/>
      <c r="C72" s="24"/>
      <c r="E72" s="299"/>
      <c r="F72" s="299" t="s">
        <v>117</v>
      </c>
      <c r="G72" s="283"/>
      <c r="H72" s="285"/>
      <c r="I72" s="18"/>
      <c r="J72" s="21" t="s">
        <v>120</v>
      </c>
      <c r="K72" s="36"/>
      <c r="L72" s="37"/>
    </row>
    <row r="73" spans="1:12" ht="15">
      <c r="A73" s="23"/>
      <c r="B73" s="124"/>
      <c r="C73" s="24"/>
      <c r="D73" s="283"/>
      <c r="E73" s="283"/>
      <c r="F73" s="284"/>
      <c r="G73" s="283"/>
      <c r="H73" s="285"/>
      <c r="I73" s="18"/>
      <c r="J73" s="20" t="s">
        <v>121</v>
      </c>
      <c r="K73" s="18"/>
      <c r="L73" s="26"/>
    </row>
    <row r="74" spans="1:12" ht="15.75" thickBot="1">
      <c r="A74" s="38"/>
      <c r="B74" s="129"/>
      <c r="C74" s="40"/>
      <c r="D74" s="292"/>
      <c r="E74" s="292"/>
      <c r="F74" s="293"/>
      <c r="G74" s="292"/>
      <c r="H74" s="294"/>
      <c r="I74" s="39"/>
      <c r="J74" s="41"/>
      <c r="K74" s="39"/>
      <c r="L74" s="42"/>
    </row>
  </sheetData>
  <sheetProtection/>
  <mergeCells count="7">
    <mergeCell ref="J71:L71"/>
    <mergeCell ref="B1:J1"/>
    <mergeCell ref="B2:J2"/>
    <mergeCell ref="B3:J3"/>
    <mergeCell ref="D69:F69"/>
    <mergeCell ref="J69:L69"/>
    <mergeCell ref="J70:L7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52"/>
  <sheetViews>
    <sheetView zoomScalePageLayoutView="0" workbookViewId="0" topLeftCell="A16">
      <selection activeCell="H35" sqref="H35"/>
    </sheetView>
  </sheetViews>
  <sheetFormatPr defaultColWidth="11.421875" defaultRowHeight="15"/>
  <cols>
    <col min="1" max="1" width="3.00390625" style="0" customWidth="1"/>
    <col min="2" max="2" width="34.421875" style="0" bestFit="1" customWidth="1"/>
    <col min="3" max="3" width="5.28125" style="0" customWidth="1"/>
    <col min="4" max="4" width="24.140625" style="0" bestFit="1" customWidth="1"/>
    <col min="5" max="5" width="5.28125" style="0" customWidth="1"/>
    <col min="6" max="6" width="16.7109375" style="0" bestFit="1" customWidth="1"/>
    <col min="7" max="7" width="5.28125" style="0" customWidth="1"/>
    <col min="8" max="8" width="25.421875" style="0" bestFit="1" customWidth="1"/>
    <col min="9" max="9" width="5.28125" style="0" customWidth="1"/>
    <col min="10" max="10" width="17.421875" style="0" bestFit="1" customWidth="1"/>
  </cols>
  <sheetData>
    <row r="1" spans="1:10" ht="15">
      <c r="A1" s="22"/>
      <c r="B1" s="489" t="s">
        <v>91</v>
      </c>
      <c r="C1" s="489"/>
      <c r="D1" s="489"/>
      <c r="E1" s="489"/>
      <c r="F1" s="489"/>
      <c r="G1" s="489"/>
      <c r="H1" s="489"/>
      <c r="I1" s="489"/>
      <c r="J1" s="494"/>
    </row>
    <row r="2" spans="1:10" ht="15">
      <c r="A2" s="23"/>
      <c r="B2" s="490" t="s">
        <v>373</v>
      </c>
      <c r="C2" s="490"/>
      <c r="D2" s="490"/>
      <c r="E2" s="490"/>
      <c r="F2" s="490"/>
      <c r="G2" s="490"/>
      <c r="H2" s="490"/>
      <c r="I2" s="490"/>
      <c r="J2" s="495"/>
    </row>
    <row r="3" spans="1:10" ht="15">
      <c r="A3" s="23"/>
      <c r="B3" s="490" t="s">
        <v>93</v>
      </c>
      <c r="C3" s="490"/>
      <c r="D3" s="490"/>
      <c r="E3" s="490"/>
      <c r="F3" s="490"/>
      <c r="G3" s="490"/>
      <c r="H3" s="490"/>
      <c r="I3" s="490"/>
      <c r="J3" s="495"/>
    </row>
    <row r="4" spans="1:10" ht="15">
      <c r="A4" s="23"/>
      <c r="B4" s="18"/>
      <c r="C4" s="18"/>
      <c r="D4" s="18"/>
      <c r="E4" s="18"/>
      <c r="F4" s="18"/>
      <c r="G4" s="18"/>
      <c r="H4" s="18"/>
      <c r="I4" s="18"/>
      <c r="J4" s="93"/>
    </row>
    <row r="5" spans="1:10" ht="15">
      <c r="A5" s="23"/>
      <c r="B5" s="21" t="s">
        <v>374</v>
      </c>
      <c r="C5" s="18"/>
      <c r="D5" s="27" t="s">
        <v>393</v>
      </c>
      <c r="E5" s="101"/>
      <c r="F5" s="27">
        <v>2016</v>
      </c>
      <c r="G5" s="101"/>
      <c r="H5" s="27">
        <v>2015</v>
      </c>
      <c r="I5" s="18"/>
      <c r="J5" s="32" t="s">
        <v>81</v>
      </c>
    </row>
    <row r="6" spans="1:10" ht="15">
      <c r="A6" s="23"/>
      <c r="B6" s="18"/>
      <c r="C6" s="18"/>
      <c r="D6" s="18"/>
      <c r="E6" s="18"/>
      <c r="F6" s="18"/>
      <c r="G6" s="18"/>
      <c r="H6" s="18"/>
      <c r="I6" s="18"/>
      <c r="J6" s="93"/>
    </row>
    <row r="7" spans="1:10" ht="15">
      <c r="A7" s="23"/>
      <c r="B7" s="117" t="s">
        <v>375</v>
      </c>
      <c r="C7" s="18"/>
      <c r="D7" s="18"/>
      <c r="E7" s="18"/>
      <c r="F7" s="18"/>
      <c r="G7" s="18"/>
      <c r="H7" s="18"/>
      <c r="I7" s="18"/>
      <c r="J7" s="93"/>
    </row>
    <row r="8" spans="1:10" ht="15">
      <c r="A8" s="23"/>
      <c r="B8" s="18"/>
      <c r="C8" s="18"/>
      <c r="D8" s="18"/>
      <c r="E8" s="18"/>
      <c r="F8" s="18"/>
      <c r="G8" s="18"/>
      <c r="H8" s="18"/>
      <c r="I8" s="18"/>
      <c r="J8" s="93"/>
    </row>
    <row r="9" spans="1:10" ht="15">
      <c r="A9" s="23"/>
      <c r="B9" s="18" t="s">
        <v>376</v>
      </c>
      <c r="C9" s="18"/>
      <c r="D9" s="18" t="s">
        <v>394</v>
      </c>
      <c r="E9" s="18"/>
      <c r="F9" s="118">
        <f>+'BALANCE GENERAL 2016'!D15/'BALANCE GENERAL 2016'!D43</f>
        <v>1.049132539145738</v>
      </c>
      <c r="G9" s="18"/>
      <c r="H9" s="118">
        <f>+'BALANCE GENERAL 2016'!F15/'BALANCE GENERAL 2016'!F43</f>
        <v>1.1541785423327575</v>
      </c>
      <c r="I9" s="18"/>
      <c r="J9" s="119">
        <f>+F9-H9</f>
        <v>-0.10504600318701951</v>
      </c>
    </row>
    <row r="10" spans="1:10" ht="15">
      <c r="A10" s="23"/>
      <c r="B10" s="18"/>
      <c r="C10" s="18"/>
      <c r="D10" s="18"/>
      <c r="E10" s="18"/>
      <c r="F10" s="18"/>
      <c r="G10" s="18"/>
      <c r="H10" s="18"/>
      <c r="I10" s="18"/>
      <c r="J10" s="93"/>
    </row>
    <row r="11" spans="1:10" ht="15">
      <c r="A11" s="23"/>
      <c r="B11" s="18" t="s">
        <v>377</v>
      </c>
      <c r="C11" s="18"/>
      <c r="D11" s="18" t="s">
        <v>395</v>
      </c>
      <c r="E11" s="18"/>
      <c r="F11" s="118">
        <f>+('BALANCE GENERAL 2016'!D15-'BALANCE GENERAL 2016'!D11)/'BALANCE GENERAL 2016'!D43</f>
        <v>0.546417120280887</v>
      </c>
      <c r="G11" s="18"/>
      <c r="H11" s="118">
        <f>+('BALANCE GENERAL 2016'!F15-'BALANCE GENERAL 2016'!F11)/'BALANCE GENERAL 2016'!F43</f>
        <v>0.5436795986167391</v>
      </c>
      <c r="I11" s="18"/>
      <c r="J11" s="119">
        <f>+F11-H11</f>
        <v>0.0027375216641478683</v>
      </c>
    </row>
    <row r="12" spans="1:10" ht="15">
      <c r="A12" s="23"/>
      <c r="B12" s="18"/>
      <c r="C12" s="18"/>
      <c r="D12" s="18"/>
      <c r="E12" s="18"/>
      <c r="F12" s="18"/>
      <c r="G12" s="18"/>
      <c r="H12" s="18"/>
      <c r="I12" s="18"/>
      <c r="J12" s="93"/>
    </row>
    <row r="13" spans="1:10" ht="15">
      <c r="A13" s="23"/>
      <c r="B13" s="18" t="s">
        <v>463</v>
      </c>
      <c r="C13" s="18"/>
      <c r="D13" s="18" t="s">
        <v>396</v>
      </c>
      <c r="E13" s="18"/>
      <c r="F13" s="77">
        <f>+'BALANCE GENERAL 2016'!D15-'BALANCE GENERAL 2016'!D43</f>
        <v>62247001.140000105</v>
      </c>
      <c r="G13" s="77"/>
      <c r="H13" s="77">
        <f>+'BALANCE GENERAL 2016'!F15-'BALANCE GENERAL 2016'!F43</f>
        <v>214425494</v>
      </c>
      <c r="I13" s="18"/>
      <c r="J13" s="145">
        <f>+F13-H13</f>
        <v>-152178492.8599999</v>
      </c>
    </row>
    <row r="14" spans="1:10" ht="15">
      <c r="A14" s="23"/>
      <c r="B14" s="18"/>
      <c r="C14" s="18"/>
      <c r="D14" s="18"/>
      <c r="E14" s="18"/>
      <c r="F14" s="18"/>
      <c r="G14" s="18"/>
      <c r="H14" s="18"/>
      <c r="I14" s="18"/>
      <c r="J14" s="93"/>
    </row>
    <row r="15" spans="1:10" ht="15">
      <c r="A15" s="23"/>
      <c r="B15" s="18" t="s">
        <v>378</v>
      </c>
      <c r="C15" s="18"/>
      <c r="D15" s="18" t="s">
        <v>397</v>
      </c>
      <c r="E15" s="18"/>
      <c r="F15" s="118">
        <f>+'BALANCE GENERAL 2016'!D29/'BALANCE GENERAL 2016'!D43</f>
        <v>1.9593782939970812</v>
      </c>
      <c r="G15" s="18"/>
      <c r="H15" s="118">
        <f>+'BALANCE GENERAL 2016'!F29/'BALANCE GENERAL 2016'!F43</f>
        <v>1.84848146277905</v>
      </c>
      <c r="I15" s="18"/>
      <c r="J15" s="119">
        <f>+F15-H15</f>
        <v>0.11089683121803118</v>
      </c>
    </row>
    <row r="16" spans="1:10" ht="15">
      <c r="A16" s="23"/>
      <c r="B16" s="18"/>
      <c r="C16" s="18"/>
      <c r="D16" s="18"/>
      <c r="E16" s="18"/>
      <c r="F16" s="18"/>
      <c r="G16" s="18"/>
      <c r="H16" s="18"/>
      <c r="I16" s="18"/>
      <c r="J16" s="93"/>
    </row>
    <row r="17" spans="1:10" ht="15">
      <c r="A17" s="23"/>
      <c r="B17" s="117" t="s">
        <v>379</v>
      </c>
      <c r="C17" s="18"/>
      <c r="D17" s="18"/>
      <c r="E17" s="18"/>
      <c r="F17" s="18"/>
      <c r="G17" s="18"/>
      <c r="H17" s="18"/>
      <c r="I17" s="18"/>
      <c r="J17" s="93"/>
    </row>
    <row r="18" spans="1:10" ht="15">
      <c r="A18" s="23"/>
      <c r="B18" s="18"/>
      <c r="C18" s="18"/>
      <c r="D18" s="18"/>
      <c r="E18" s="18"/>
      <c r="F18" s="18"/>
      <c r="G18" s="18"/>
      <c r="H18" s="18"/>
      <c r="I18" s="18"/>
      <c r="J18" s="93"/>
    </row>
    <row r="19" spans="1:10" ht="15">
      <c r="A19" s="23"/>
      <c r="B19" s="18" t="s">
        <v>380</v>
      </c>
      <c r="C19" s="18"/>
      <c r="D19" s="18" t="s">
        <v>398</v>
      </c>
      <c r="E19" s="18"/>
      <c r="F19" s="118">
        <f>+'BALANCE GENERAL 2016'!D43/'BALANCE GENERAL 2016'!D29</f>
        <v>0.5103659681561674</v>
      </c>
      <c r="G19" s="18"/>
      <c r="H19" s="118">
        <f>+'BALANCE GENERAL 2016'!F43/'BALANCE GENERAL 2016'!F29</f>
        <v>0.540984597430897</v>
      </c>
      <c r="I19" s="18"/>
      <c r="J19" s="119">
        <f>+F19-H19</f>
        <v>-0.03061862927472958</v>
      </c>
    </row>
    <row r="20" spans="1:10" ht="15">
      <c r="A20" s="23"/>
      <c r="B20" s="18"/>
      <c r="C20" s="18"/>
      <c r="D20" s="18"/>
      <c r="E20" s="18"/>
      <c r="F20" s="118"/>
      <c r="G20" s="18"/>
      <c r="H20" s="18"/>
      <c r="I20" s="18"/>
      <c r="J20" s="93"/>
    </row>
    <row r="21" spans="1:10" ht="15">
      <c r="A21" s="23"/>
      <c r="B21" s="18" t="s">
        <v>381</v>
      </c>
      <c r="C21" s="18"/>
      <c r="D21" s="18" t="s">
        <v>399</v>
      </c>
      <c r="E21" s="18"/>
      <c r="F21" s="118">
        <f>+'BALANCE GENERAL 2016'!D57/'BALANCE GENERAL 2016'!D29</f>
        <v>0.4896340314450211</v>
      </c>
      <c r="G21" s="18"/>
      <c r="H21" s="118">
        <f>+'BALANCE GENERAL 2016'!F57/'BALANCE GENERAL 2016'!F29</f>
        <v>0.45901540256843304</v>
      </c>
      <c r="I21" s="18"/>
      <c r="J21" s="119">
        <f>+F21-H21</f>
        <v>0.03061862887658806</v>
      </c>
    </row>
    <row r="22" spans="1:10" ht="15">
      <c r="A22" s="23"/>
      <c r="B22" s="18"/>
      <c r="C22" s="18"/>
      <c r="D22" s="18"/>
      <c r="E22" s="18"/>
      <c r="F22" s="18"/>
      <c r="G22" s="18"/>
      <c r="H22" s="18"/>
      <c r="I22" s="18"/>
      <c r="J22" s="93"/>
    </row>
    <row r="23" spans="1:10" ht="15">
      <c r="A23" s="23"/>
      <c r="B23" s="117" t="s">
        <v>382</v>
      </c>
      <c r="C23" s="18"/>
      <c r="D23" s="18"/>
      <c r="E23" s="18"/>
      <c r="F23" s="18"/>
      <c r="G23" s="18"/>
      <c r="H23" s="18"/>
      <c r="I23" s="18"/>
      <c r="J23" s="93"/>
    </row>
    <row r="24" spans="1:10" ht="15">
      <c r="A24" s="23"/>
      <c r="B24" s="18"/>
      <c r="C24" s="18"/>
      <c r="D24" s="18"/>
      <c r="E24" s="18"/>
      <c r="F24" s="18"/>
      <c r="G24" s="18"/>
      <c r="H24" s="18"/>
      <c r="I24" s="18"/>
      <c r="J24" s="93"/>
    </row>
    <row r="25" spans="1:11" ht="15">
      <c r="A25" s="23"/>
      <c r="B25" s="18" t="s">
        <v>383</v>
      </c>
      <c r="C25" s="18"/>
      <c r="D25" s="18" t="s">
        <v>400</v>
      </c>
      <c r="E25" s="18"/>
      <c r="F25" s="118">
        <f>+(-'EST RESULTADOS'!D39-'EST RESULTADOS'!D12)/'BALANCE GENERAL 2016'!D11</f>
        <v>26.217946472171832</v>
      </c>
      <c r="G25" s="18"/>
      <c r="H25" s="118">
        <f>+(-'EST RESULTADOS'!F39-'EST RESULTADOS'!F12)/'BALANCE GENERAL 2016'!F11</f>
        <v>20.388527399120235</v>
      </c>
      <c r="I25" s="18"/>
      <c r="J25" s="119">
        <f>+F25-H25</f>
        <v>5.8294190730515965</v>
      </c>
      <c r="K25" s="256"/>
    </row>
    <row r="26" spans="1:10" ht="15">
      <c r="A26" s="23"/>
      <c r="B26" s="18"/>
      <c r="C26" s="18"/>
      <c r="D26" s="18"/>
      <c r="E26" s="18"/>
      <c r="F26" s="18"/>
      <c r="G26" s="18"/>
      <c r="H26" s="18"/>
      <c r="I26" s="18"/>
      <c r="J26" s="93"/>
    </row>
    <row r="27" spans="1:11" ht="15">
      <c r="A27" s="23"/>
      <c r="B27" s="18" t="s">
        <v>384</v>
      </c>
      <c r="C27" s="18"/>
      <c r="D27" s="18" t="s">
        <v>401</v>
      </c>
      <c r="E27" s="18"/>
      <c r="F27" s="118">
        <f>+(('BALANCE GENERAL 2016'!D11/(-'EST RESULTADOS'!D12-'EST RESULTADOS'!D39))*360)</f>
        <v>13.731052520917686</v>
      </c>
      <c r="G27" s="18"/>
      <c r="H27" s="118">
        <f>+(('BALANCE GENERAL 2016'!F11/(-'EST RESULTADOS'!F12-'EST RESULTADOS'!F39))*360)</f>
        <v>17.656988803199884</v>
      </c>
      <c r="I27" s="18"/>
      <c r="J27" s="119">
        <f>+F27-H27</f>
        <v>-3.9259362822821977</v>
      </c>
      <c r="K27" s="257"/>
    </row>
    <row r="28" spans="1:10" ht="15">
      <c r="A28" s="23"/>
      <c r="B28" s="18"/>
      <c r="C28" s="18"/>
      <c r="D28" s="18"/>
      <c r="E28" s="18"/>
      <c r="F28" s="18"/>
      <c r="G28" s="18"/>
      <c r="H28" s="18"/>
      <c r="I28" s="18"/>
      <c r="J28" s="93"/>
    </row>
    <row r="29" spans="1:10" ht="15">
      <c r="A29" s="23"/>
      <c r="B29" s="18" t="s">
        <v>385</v>
      </c>
      <c r="C29" s="18"/>
      <c r="D29" s="18" t="s">
        <v>402</v>
      </c>
      <c r="E29" s="18"/>
      <c r="F29" s="118">
        <f>+('EST RESULTADOS'!D36+'EST RESULTADOS'!D9)/'BALANCE GENERAL 2016'!D15</f>
        <v>13.146821118776412</v>
      </c>
      <c r="G29" s="18"/>
      <c r="H29" s="118">
        <f>+('EST RESULTADOS'!F36+'EST RESULTADOS'!F9)/'BALANCE GENERAL 2016'!F15</f>
        <v>11.294451791313454</v>
      </c>
      <c r="I29" s="18"/>
      <c r="J29" s="119">
        <f>+F29-H29</f>
        <v>1.8523693274629576</v>
      </c>
    </row>
    <row r="30" spans="1:10" ht="15">
      <c r="A30" s="23"/>
      <c r="B30" s="18"/>
      <c r="C30" s="18"/>
      <c r="D30" s="18"/>
      <c r="E30" s="18"/>
      <c r="F30" s="18"/>
      <c r="G30" s="18"/>
      <c r="H30" s="18"/>
      <c r="I30" s="18"/>
      <c r="J30" s="93"/>
    </row>
    <row r="31" spans="1:10" ht="15">
      <c r="A31" s="23"/>
      <c r="B31" s="18" t="s">
        <v>386</v>
      </c>
      <c r="C31" s="18"/>
      <c r="D31" s="18" t="s">
        <v>403</v>
      </c>
      <c r="E31" s="18"/>
      <c r="F31" s="118">
        <f>+('EST RESULTADOS'!D36+'EST RESULTADOS'!D9)/'BALANCE GENERAL 2016'!D29</f>
        <v>7.039354199387317</v>
      </c>
      <c r="G31" s="18"/>
      <c r="H31" s="118">
        <f>+('EST RESULTADOS'!F36+'EST RESULTADOS'!F9)/'BALANCE GENERAL 2016'!F29</f>
        <v>7.052174537551174</v>
      </c>
      <c r="I31" s="18"/>
      <c r="J31" s="119">
        <f>+F31-H31</f>
        <v>-0.012820338163857414</v>
      </c>
    </row>
    <row r="32" spans="1:10" ht="15">
      <c r="A32" s="23"/>
      <c r="B32" s="18"/>
      <c r="C32" s="18"/>
      <c r="D32" s="18"/>
      <c r="E32" s="18"/>
      <c r="F32" s="18"/>
      <c r="G32" s="18"/>
      <c r="H32" s="18"/>
      <c r="I32" s="18"/>
      <c r="J32" s="93"/>
    </row>
    <row r="33" spans="1:10" ht="15">
      <c r="A33" s="23"/>
      <c r="B33" s="117" t="s">
        <v>387</v>
      </c>
      <c r="C33" s="18"/>
      <c r="D33" s="18"/>
      <c r="E33" s="18"/>
      <c r="F33" s="18"/>
      <c r="G33" s="18"/>
      <c r="H33" s="18"/>
      <c r="I33" s="18"/>
      <c r="J33" s="93"/>
    </row>
    <row r="34" spans="1:10" ht="15">
      <c r="A34" s="23"/>
      <c r="B34" s="18"/>
      <c r="C34" s="18"/>
      <c r="D34" s="18"/>
      <c r="E34" s="18"/>
      <c r="F34" s="18"/>
      <c r="G34" s="18"/>
      <c r="H34" s="18"/>
      <c r="I34" s="18"/>
      <c r="J34" s="93"/>
    </row>
    <row r="35" spans="1:10" ht="15">
      <c r="A35" s="23"/>
      <c r="B35" s="18" t="s">
        <v>388</v>
      </c>
      <c r="C35" s="18"/>
      <c r="D35" s="18" t="s">
        <v>404</v>
      </c>
      <c r="E35" s="18"/>
      <c r="F35" s="120">
        <f>+('BALANCE GENERAL 2016'!D53/'BALANCE GENERAL 2016'!D57)*100</f>
        <v>2.9489816115752086</v>
      </c>
      <c r="G35" s="18"/>
      <c r="H35" s="120">
        <f>+('BALANCE GENERAL 2016'!F53/'BALANCE GENERAL 2016'!F57)*100</f>
        <v>4.030875572406028</v>
      </c>
      <c r="I35" s="18"/>
      <c r="J35" s="119">
        <f>+F35-H35</f>
        <v>-1.0818939608308198</v>
      </c>
    </row>
    <row r="36" spans="1:10" ht="15">
      <c r="A36" s="23"/>
      <c r="B36" s="18"/>
      <c r="C36" s="18"/>
      <c r="D36" s="18"/>
      <c r="E36" s="18"/>
      <c r="F36" s="18"/>
      <c r="G36" s="18"/>
      <c r="H36" s="18"/>
      <c r="I36" s="18"/>
      <c r="J36" s="93"/>
    </row>
    <row r="37" spans="1:10" ht="15">
      <c r="A37" s="23"/>
      <c r="B37" s="18" t="s">
        <v>389</v>
      </c>
      <c r="C37" s="18"/>
      <c r="D37" s="18" t="s">
        <v>405</v>
      </c>
      <c r="E37" s="18"/>
      <c r="F37" s="118">
        <f>+'BALANCE GENERAL 2016'!D53/'BALANCE GENERAL 2016'!D29</f>
        <v>0.014439217551328045</v>
      </c>
      <c r="G37" s="18"/>
      <c r="H37" s="118">
        <f>+'BALANCE GENERAL 2016'!F53/'BALANCE GENERAL 2016'!F29</f>
        <v>0.01850233973571216</v>
      </c>
      <c r="I37" s="18"/>
      <c r="J37" s="119">
        <f>+F37-H37</f>
        <v>-0.004063122184384116</v>
      </c>
    </row>
    <row r="38" spans="1:10" ht="15">
      <c r="A38" s="23"/>
      <c r="B38" s="18"/>
      <c r="C38" s="18"/>
      <c r="D38" s="18"/>
      <c r="E38" s="18"/>
      <c r="F38" s="18"/>
      <c r="G38" s="18"/>
      <c r="H38" s="18"/>
      <c r="I38" s="18"/>
      <c r="J38" s="93"/>
    </row>
    <row r="39" spans="1:10" ht="15">
      <c r="A39" s="23"/>
      <c r="B39" s="18" t="s">
        <v>390</v>
      </c>
      <c r="C39" s="18"/>
      <c r="D39" s="18" t="s">
        <v>406</v>
      </c>
      <c r="E39" s="18"/>
      <c r="F39" s="118">
        <f>+(('EST RESULTADOS'!D41+'EST RESULTADOS'!D14)/('EST RESULTADOS'!D9+'EST RESULTADOS'!D36))*100</f>
        <v>4.441402418621922</v>
      </c>
      <c r="G39" s="18"/>
      <c r="H39" s="118">
        <f>+(('EST RESULTADOS'!F41+'EST RESULTADOS'!F14)/('EST RESULTADOS'!F9+'EST RESULTADOS'!F36))*100</f>
        <v>4.515555899692875</v>
      </c>
      <c r="I39" s="18"/>
      <c r="J39" s="119">
        <f>+F39-H39</f>
        <v>-0.07415348107095276</v>
      </c>
    </row>
    <row r="40" spans="1:10" ht="15">
      <c r="A40" s="23"/>
      <c r="B40" s="18"/>
      <c r="C40" s="18"/>
      <c r="D40" s="18"/>
      <c r="E40" s="18"/>
      <c r="F40" s="18"/>
      <c r="G40" s="18"/>
      <c r="H40" s="18"/>
      <c r="I40" s="18"/>
      <c r="J40" s="93"/>
    </row>
    <row r="41" spans="1:10" ht="15">
      <c r="A41" s="23"/>
      <c r="B41" s="18" t="s">
        <v>391</v>
      </c>
      <c r="C41" s="18"/>
      <c r="D41" s="18" t="s">
        <v>407</v>
      </c>
      <c r="E41" s="18"/>
      <c r="F41" s="118">
        <f>+('EST RESULTADOS'!D41+'EST RESULTADOS'!D14)/('EST RESULTADOS'!D9+'EST RESULTADOS'!D36)</f>
        <v>0.04441402418621922</v>
      </c>
      <c r="G41" s="18"/>
      <c r="H41" s="118">
        <f>+('EST RESULTADOS'!F41+'EST RESULTADOS'!F14)/('EST RESULTADOS'!F9+'EST RESULTADOS'!F36)</f>
        <v>0.045155558996928746</v>
      </c>
      <c r="I41" s="18"/>
      <c r="J41" s="119">
        <f>+F41-H41</f>
        <v>-0.0007415348107095293</v>
      </c>
    </row>
    <row r="42" spans="1:10" ht="15">
      <c r="A42" s="23"/>
      <c r="B42" s="18"/>
      <c r="C42" s="18"/>
      <c r="D42" s="18"/>
      <c r="E42" s="18"/>
      <c r="F42" s="18"/>
      <c r="G42" s="18"/>
      <c r="H42" s="18"/>
      <c r="I42" s="18"/>
      <c r="J42" s="93"/>
    </row>
    <row r="43" spans="1:10" ht="15">
      <c r="A43" s="23"/>
      <c r="B43" s="18" t="s">
        <v>392</v>
      </c>
      <c r="C43" s="18"/>
      <c r="D43" s="18" t="s">
        <v>408</v>
      </c>
      <c r="E43" s="18"/>
      <c r="F43" s="255">
        <f>+'BALANCE GENERAL 2016'!D53/('EST RESULTADOS'!D36+'EST RESULTADOS'!D9)</f>
        <v>0.0020512133844017666</v>
      </c>
      <c r="G43" s="18"/>
      <c r="H43" s="255">
        <f>+'BALANCE GENERAL 2016'!F53/('EST RESULTADOS'!F36+'EST RESULTADOS'!F9)</f>
        <v>0.0026236361050327875</v>
      </c>
      <c r="I43" s="18"/>
      <c r="J43" s="119">
        <f>+F43-H43</f>
        <v>-0.000572422720631021</v>
      </c>
    </row>
    <row r="44" spans="1:10" ht="15">
      <c r="A44" s="23"/>
      <c r="B44" s="18"/>
      <c r="C44" s="18"/>
      <c r="D44" s="18"/>
      <c r="E44" s="18"/>
      <c r="F44" s="18"/>
      <c r="G44" s="18"/>
      <c r="H44" s="18"/>
      <c r="I44" s="18"/>
      <c r="J44" s="93"/>
    </row>
    <row r="45" spans="1:10" ht="15">
      <c r="A45" s="23"/>
      <c r="B45" s="18"/>
      <c r="C45" s="18"/>
      <c r="D45" s="18"/>
      <c r="E45" s="18"/>
      <c r="F45" s="18"/>
      <c r="G45" s="18"/>
      <c r="H45" s="18"/>
      <c r="I45" s="18"/>
      <c r="J45" s="93"/>
    </row>
    <row r="46" spans="1:10" ht="15">
      <c r="A46" s="23"/>
      <c r="B46" s="18"/>
      <c r="C46" s="18"/>
      <c r="D46" s="18"/>
      <c r="E46" s="18"/>
      <c r="F46" s="18"/>
      <c r="G46" s="18"/>
      <c r="H46" s="18"/>
      <c r="I46" s="18"/>
      <c r="J46" s="93"/>
    </row>
    <row r="47" spans="1:10" ht="15">
      <c r="A47" s="23"/>
      <c r="B47" s="18"/>
      <c r="C47" s="18"/>
      <c r="D47" s="18"/>
      <c r="E47" s="18"/>
      <c r="F47" s="18"/>
      <c r="G47" s="18"/>
      <c r="H47" s="18"/>
      <c r="I47" s="18"/>
      <c r="J47" s="93"/>
    </row>
    <row r="48" spans="1:10" ht="15">
      <c r="A48" s="23"/>
      <c r="B48" s="21"/>
      <c r="C48" s="233"/>
      <c r="D48" s="18"/>
      <c r="E48" s="18"/>
      <c r="F48" s="18"/>
      <c r="G48" s="18"/>
      <c r="H48" s="492"/>
      <c r="I48" s="492"/>
      <c r="J48" s="493"/>
    </row>
    <row r="49" spans="1:10" ht="15">
      <c r="A49" s="23"/>
      <c r="B49" s="21" t="s">
        <v>113</v>
      </c>
      <c r="C49" s="233"/>
      <c r="D49" s="18"/>
      <c r="E49" s="18"/>
      <c r="F49" s="18"/>
      <c r="G49" s="18"/>
      <c r="H49" s="492" t="s">
        <v>115</v>
      </c>
      <c r="I49" s="492"/>
      <c r="J49" s="493"/>
    </row>
    <row r="50" spans="1:10" ht="15">
      <c r="A50" s="23"/>
      <c r="B50" s="21" t="s">
        <v>114</v>
      </c>
      <c r="C50" s="233"/>
      <c r="D50" s="18"/>
      <c r="E50" s="18"/>
      <c r="F50" s="18"/>
      <c r="G50" s="18"/>
      <c r="H50" s="492" t="s">
        <v>116</v>
      </c>
      <c r="I50" s="492"/>
      <c r="J50" s="493"/>
    </row>
    <row r="51" spans="1:10" ht="15">
      <c r="A51" s="23"/>
      <c r="B51" s="18"/>
      <c r="C51" s="233"/>
      <c r="D51" s="18"/>
      <c r="E51" s="18"/>
      <c r="F51" s="18"/>
      <c r="G51" s="18"/>
      <c r="H51" s="21" t="s">
        <v>117</v>
      </c>
      <c r="I51" s="18"/>
      <c r="J51" s="145"/>
    </row>
    <row r="52" spans="1:10" ht="15.75" thickBot="1">
      <c r="A52" s="38"/>
      <c r="B52" s="39"/>
      <c r="C52" s="40"/>
      <c r="D52" s="39"/>
      <c r="E52" s="39"/>
      <c r="F52" s="116"/>
      <c r="G52" s="39"/>
      <c r="H52" s="108"/>
      <c r="I52" s="39"/>
      <c r="J52" s="42"/>
    </row>
  </sheetData>
  <sheetProtection/>
  <mergeCells count="6">
    <mergeCell ref="H50:J50"/>
    <mergeCell ref="B1:J1"/>
    <mergeCell ref="B2:J2"/>
    <mergeCell ref="B3:J3"/>
    <mergeCell ref="H48:J48"/>
    <mergeCell ref="H49:J4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76"/>
  <sheetViews>
    <sheetView zoomScalePageLayoutView="0" workbookViewId="0" topLeftCell="A219">
      <selection activeCell="F229" sqref="F229:F231"/>
    </sheetView>
  </sheetViews>
  <sheetFormatPr defaultColWidth="5.57421875" defaultRowHeight="15"/>
  <cols>
    <col min="1" max="1" width="3.00390625" style="0" customWidth="1"/>
    <col min="2" max="2" width="35.8515625" style="0" bestFit="1" customWidth="1"/>
    <col min="3" max="3" width="2.140625" style="0" customWidth="1"/>
    <col min="4" max="4" width="23.421875" style="440" bestFit="1" customWidth="1"/>
    <col min="5" max="5" width="2.421875" style="181" customWidth="1"/>
    <col min="6" max="6" width="24.421875" style="6" bestFit="1" customWidth="1"/>
    <col min="7" max="7" width="2.421875" style="6" customWidth="1"/>
    <col min="8" max="8" width="19.8515625" style="441" customWidth="1"/>
    <col min="9" max="9" width="1.1484375" style="0" customWidth="1"/>
    <col min="10" max="10" width="16.28125" style="441" hidden="1" customWidth="1"/>
    <col min="11" max="11" width="1.57421875" style="0" customWidth="1"/>
    <col min="12" max="12" width="16.57421875" style="301" customWidth="1"/>
    <col min="13" max="13" width="19.28125" style="301" bestFit="1" customWidth="1"/>
    <col min="14" max="14" width="37.140625" style="442" hidden="1" customWidth="1"/>
    <col min="15" max="15" width="1.1484375" style="443" customWidth="1"/>
  </cols>
  <sheetData>
    <row r="1" spans="1:15" s="44" customFormat="1" ht="15.75" thickBot="1">
      <c r="A1" s="496" t="s">
        <v>534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</row>
    <row r="2" spans="1:15" s="44" customFormat="1" ht="15.75" thickBot="1">
      <c r="A2" s="496" t="s">
        <v>535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8"/>
    </row>
    <row r="3" spans="1:15" s="44" customFormat="1" ht="15.75" thickBot="1">
      <c r="A3" s="302"/>
      <c r="B3" s="303"/>
      <c r="C3" s="304"/>
      <c r="D3" s="305"/>
      <c r="E3" s="306"/>
      <c r="F3" s="307"/>
      <c r="G3" s="308"/>
      <c r="H3" s="309"/>
      <c r="I3" s="304"/>
      <c r="J3" s="309"/>
      <c r="K3" s="304"/>
      <c r="L3" s="310"/>
      <c r="M3" s="311"/>
      <c r="N3" s="312"/>
      <c r="O3" s="313"/>
    </row>
    <row r="4" spans="1:15" s="44" customFormat="1" ht="15.75" thickBot="1">
      <c r="A4" s="302"/>
      <c r="B4" s="314"/>
      <c r="C4" s="315"/>
      <c r="D4" s="316">
        <v>2015</v>
      </c>
      <c r="E4" s="317"/>
      <c r="F4" s="318">
        <v>2016</v>
      </c>
      <c r="G4" s="317"/>
      <c r="H4" s="319" t="s">
        <v>536</v>
      </c>
      <c r="I4" s="320"/>
      <c r="J4" s="321" t="s">
        <v>537</v>
      </c>
      <c r="K4" s="320"/>
      <c r="L4" s="319" t="s">
        <v>538</v>
      </c>
      <c r="M4" s="319" t="s">
        <v>539</v>
      </c>
      <c r="N4" s="322"/>
      <c r="O4" s="323"/>
    </row>
    <row r="5" spans="1:15" s="44" customFormat="1" ht="15">
      <c r="A5" s="302"/>
      <c r="B5" s="303" t="str">
        <f>+N5</f>
        <v>FERTILIZANTES</v>
      </c>
      <c r="C5" s="304"/>
      <c r="D5" s="324"/>
      <c r="E5" s="306"/>
      <c r="F5" s="307"/>
      <c r="G5" s="308"/>
      <c r="H5" s="325"/>
      <c r="I5" s="304"/>
      <c r="J5" s="309"/>
      <c r="K5" s="304"/>
      <c r="L5" s="310"/>
      <c r="M5" s="326">
        <f>+'[8]PRESUPUESTO GENERAL'!Y3</f>
        <v>0</v>
      </c>
      <c r="N5" s="312" t="str">
        <f>+'[8]PRESUPUESTO GENERAL'!A3</f>
        <v>FERTILIZANTES</v>
      </c>
      <c r="O5" s="313"/>
    </row>
    <row r="6" spans="1:15" s="328" customFormat="1" ht="15">
      <c r="A6" s="327"/>
      <c r="B6" s="303">
        <f aca="true" t="shared" si="0" ref="B6:B70">+N6</f>
        <v>0</v>
      </c>
      <c r="D6" s="329"/>
      <c r="E6" s="330"/>
      <c r="F6" s="331"/>
      <c r="G6" s="332"/>
      <c r="H6" s="309"/>
      <c r="J6" s="333"/>
      <c r="L6" s="309"/>
      <c r="M6" s="326">
        <f>+'[8]PRESUPUESTO GENERAL'!Y4</f>
        <v>0</v>
      </c>
      <c r="N6" s="312">
        <f>+'[8]PRESUPUESTO GENERAL'!A4</f>
        <v>0</v>
      </c>
      <c r="O6" s="334"/>
    </row>
    <row r="7" spans="1:15" s="328" customFormat="1" ht="15">
      <c r="A7" s="327"/>
      <c r="B7" s="303" t="str">
        <f t="shared" si="0"/>
        <v>VENTAS DE FERTILIZANTES</v>
      </c>
      <c r="C7" s="335"/>
      <c r="D7" s="336">
        <f>SUM(D8:D13)</f>
        <v>5995829769</v>
      </c>
      <c r="E7" s="336">
        <f>SUM(E8:E13)</f>
        <v>0</v>
      </c>
      <c r="F7" s="336">
        <f>SUM(F8:F13)</f>
        <v>5912361898</v>
      </c>
      <c r="G7" s="337"/>
      <c r="H7" s="338">
        <f>+(F7-D7)/D7</f>
        <v>-0.013920987455572974</v>
      </c>
      <c r="J7" s="333"/>
      <c r="L7" s="339">
        <f aca="true" t="shared" si="1" ref="L7:L71">+F7/M7</f>
        <v>0.9105015501466859</v>
      </c>
      <c r="M7" s="326">
        <f>+'[8]PRESUPUESTO GENERAL'!Y5</f>
        <v>6493522056.110165</v>
      </c>
      <c r="N7" s="312" t="str">
        <f>+'[8]PRESUPUESTO GENERAL'!A5</f>
        <v>VENTAS DE FERTILIZANTES</v>
      </c>
      <c r="O7" s="340"/>
    </row>
    <row r="8" spans="1:15" s="345" customFormat="1" ht="15">
      <c r="A8" s="341"/>
      <c r="B8" s="303" t="str">
        <f t="shared" si="0"/>
        <v>FRESNO</v>
      </c>
      <c r="C8" s="342"/>
      <c r="D8" s="329">
        <f>+'[8]IG 2015'!Y6</f>
        <v>2751268435</v>
      </c>
      <c r="E8" s="343"/>
      <c r="F8" s="344">
        <v>2736425202</v>
      </c>
      <c r="G8" s="132"/>
      <c r="H8" s="338">
        <f aca="true" t="shared" si="2" ref="H8:H73">+(F8-D8)/D8</f>
        <v>-0.005395050810445546</v>
      </c>
      <c r="J8" s="342"/>
      <c r="L8" s="339">
        <f t="shared" si="1"/>
        <v>0.9351951330997927</v>
      </c>
      <c r="M8" s="326">
        <f>+'[8]PRESUPUESTO GENERAL'!Y6</f>
        <v>2926047308.362117</v>
      </c>
      <c r="N8" s="312" t="str">
        <f>+'[8]PRESUPUESTO GENERAL'!A6</f>
        <v>FRESNO</v>
      </c>
      <c r="O8" s="346"/>
    </row>
    <row r="9" spans="1:15" s="345" customFormat="1" ht="15">
      <c r="A9" s="341"/>
      <c r="B9" s="303" t="str">
        <f t="shared" si="0"/>
        <v>FRIAS</v>
      </c>
      <c r="C9" s="342"/>
      <c r="D9" s="329">
        <f>+'[8]IG 2015'!Y7</f>
        <v>387467434</v>
      </c>
      <c r="E9" s="343"/>
      <c r="F9" s="344">
        <v>256901146</v>
      </c>
      <c r="G9" s="347"/>
      <c r="H9" s="338">
        <f t="shared" si="2"/>
        <v>-0.33697357904922665</v>
      </c>
      <c r="J9" s="342"/>
      <c r="L9" s="339">
        <f t="shared" si="1"/>
        <v>0.565020061114409</v>
      </c>
      <c r="M9" s="326">
        <f>+'[8]PRESUPUESTO GENERAL'!Y7</f>
        <v>454676149.89334154</v>
      </c>
      <c r="N9" s="312" t="str">
        <f>+'[8]PRESUPUESTO GENERAL'!A7</f>
        <v>FRIAS</v>
      </c>
      <c r="O9" s="346"/>
    </row>
    <row r="10" spans="1:15" s="345" customFormat="1" ht="15">
      <c r="A10" s="341"/>
      <c r="B10" s="303" t="str">
        <f t="shared" si="0"/>
        <v>HERVEO</v>
      </c>
      <c r="C10" s="342"/>
      <c r="D10" s="329">
        <f>+'[8]IG 2015'!Y8</f>
        <v>465645300</v>
      </c>
      <c r="E10" s="343"/>
      <c r="F10" s="344">
        <v>414056900</v>
      </c>
      <c r="G10" s="347"/>
      <c r="H10" s="338">
        <f t="shared" si="2"/>
        <v>-0.11078904908951083</v>
      </c>
      <c r="J10" s="342"/>
      <c r="L10" s="339">
        <f t="shared" si="1"/>
        <v>0.8186065873506394</v>
      </c>
      <c r="M10" s="326">
        <f>+'[8]PRESUPUESTO GENERAL'!Y8</f>
        <v>505806948.53686064</v>
      </c>
      <c r="N10" s="312" t="str">
        <f>+'[8]PRESUPUESTO GENERAL'!A8</f>
        <v>HERVEO</v>
      </c>
      <c r="O10" s="346"/>
    </row>
    <row r="11" spans="1:15" s="345" customFormat="1" ht="15">
      <c r="A11" s="341"/>
      <c r="B11" s="303" t="str">
        <f t="shared" si="0"/>
        <v>PADUA</v>
      </c>
      <c r="C11" s="342"/>
      <c r="D11" s="329">
        <f>+'[8]IG 2015'!Y9</f>
        <v>247629300</v>
      </c>
      <c r="E11" s="343"/>
      <c r="F11" s="348">
        <v>220807270</v>
      </c>
      <c r="G11" s="347"/>
      <c r="H11" s="338">
        <f t="shared" si="2"/>
        <v>-0.10831525187043697</v>
      </c>
      <c r="J11" s="342"/>
      <c r="L11" s="339">
        <f t="shared" si="1"/>
        <v>0.8686146983826798</v>
      </c>
      <c r="M11" s="326">
        <f>+'[8]PRESUPUESTO GENERAL'!Y9</f>
        <v>254206232.53455517</v>
      </c>
      <c r="N11" s="312" t="str">
        <f>+'[8]PRESUPUESTO GENERAL'!A9</f>
        <v>PADUA</v>
      </c>
      <c r="O11" s="346"/>
    </row>
    <row r="12" spans="1:15" s="345" customFormat="1" ht="15">
      <c r="A12" s="341"/>
      <c r="B12" s="303" t="str">
        <f t="shared" si="0"/>
        <v>PALOCABILDO</v>
      </c>
      <c r="C12" s="342"/>
      <c r="D12" s="329">
        <f>+'[8]IG 2015'!Y10</f>
        <v>2143819300</v>
      </c>
      <c r="E12" s="343"/>
      <c r="F12" s="348">
        <v>2220505980</v>
      </c>
      <c r="G12" s="347"/>
      <c r="H12" s="338">
        <f t="shared" si="2"/>
        <v>0.03577105589076467</v>
      </c>
      <c r="J12" s="342"/>
      <c r="L12" s="339">
        <f t="shared" si="1"/>
        <v>0.9437775175586807</v>
      </c>
      <c r="M12" s="326">
        <f>+'[8]PRESUPUESTO GENERAL'!Y10</f>
        <v>2352785416.783291</v>
      </c>
      <c r="N12" s="312" t="str">
        <f>+'[8]PRESUPUESTO GENERAL'!A10</f>
        <v>PALOCABILDO</v>
      </c>
      <c r="O12" s="346"/>
    </row>
    <row r="13" spans="1:15" s="345" customFormat="1" ht="15">
      <c r="A13" s="341"/>
      <c r="B13" s="303" t="s">
        <v>540</v>
      </c>
      <c r="C13" s="342"/>
      <c r="D13" s="329">
        <v>0</v>
      </c>
      <c r="E13" s="343"/>
      <c r="F13" s="344">
        <v>63665400</v>
      </c>
      <c r="G13" s="347"/>
      <c r="H13" s="338" t="e">
        <f t="shared" si="2"/>
        <v>#DIV/0!</v>
      </c>
      <c r="J13" s="342"/>
      <c r="L13" s="339" t="e">
        <f t="shared" si="1"/>
        <v>#DIV/0!</v>
      </c>
      <c r="M13" s="326">
        <f>+'[8]PRESUPUESTO GENERAL'!Y11</f>
        <v>0</v>
      </c>
      <c r="N13" s="312"/>
      <c r="O13" s="346"/>
    </row>
    <row r="14" spans="1:15" s="345" customFormat="1" ht="15">
      <c r="A14" s="341"/>
      <c r="B14" s="303">
        <f t="shared" si="0"/>
        <v>0</v>
      </c>
      <c r="D14" s="329"/>
      <c r="E14" s="131"/>
      <c r="F14" s="349"/>
      <c r="G14" s="132"/>
      <c r="H14" s="338"/>
      <c r="J14" s="342"/>
      <c r="L14" s="339"/>
      <c r="M14" s="326"/>
      <c r="N14" s="312">
        <f>+'[8]PRESUPUESTO GENERAL'!A11</f>
        <v>0</v>
      </c>
      <c r="O14" s="346"/>
    </row>
    <row r="15" spans="1:15" s="328" customFormat="1" ht="15">
      <c r="A15" s="327"/>
      <c r="B15" s="303" t="str">
        <f t="shared" si="0"/>
        <v>COSTO DE VENTAS</v>
      </c>
      <c r="C15" s="330"/>
      <c r="D15" s="350">
        <f>+D16+D24</f>
        <v>5415839570</v>
      </c>
      <c r="E15" s="350">
        <f>+E16+E24</f>
        <v>0</v>
      </c>
      <c r="F15" s="350">
        <f>+F16+F24</f>
        <v>5278658561.1</v>
      </c>
      <c r="G15" s="337"/>
      <c r="H15" s="338">
        <f t="shared" si="2"/>
        <v>-0.025329592416268643</v>
      </c>
      <c r="L15" s="339">
        <f t="shared" si="1"/>
        <v>0.9036160719064287</v>
      </c>
      <c r="M15" s="326">
        <f>+'[8]PRESUPUESTO GENERAL'!Y12</f>
        <v>5841705039.578597</v>
      </c>
      <c r="N15" s="312" t="str">
        <f>+'[8]PRESUPUESTO GENERAL'!A12</f>
        <v>COSTO DE VENTAS</v>
      </c>
      <c r="O15" s="346"/>
    </row>
    <row r="16" spans="1:15" s="345" customFormat="1" ht="15">
      <c r="A16" s="341"/>
      <c r="B16" s="303" t="str">
        <f t="shared" si="0"/>
        <v>COSTO DE MERCANCIA</v>
      </c>
      <c r="D16" s="329">
        <f>SUM(D17:D21)</f>
        <v>5395695822</v>
      </c>
      <c r="E16" s="343"/>
      <c r="F16" s="351">
        <f>SUM(F17:F22)</f>
        <v>5257324754.1</v>
      </c>
      <c r="G16" s="347"/>
      <c r="H16" s="338">
        <f t="shared" si="2"/>
        <v>-0.02564471246429718</v>
      </c>
      <c r="J16" s="342"/>
      <c r="L16" s="339"/>
      <c r="M16" s="326">
        <f>+'[8]PRESUPUESTO GENERAL'!Y13</f>
        <v>0</v>
      </c>
      <c r="N16" s="312" t="str">
        <f>+'[8]PRESUPUESTO GENERAL'!A13</f>
        <v>COSTO DE MERCANCIA</v>
      </c>
      <c r="O16" s="346"/>
    </row>
    <row r="17" spans="1:15" s="345" customFormat="1" ht="15">
      <c r="A17" s="341"/>
      <c r="B17" s="303" t="str">
        <f t="shared" si="0"/>
        <v>FRESNO</v>
      </c>
      <c r="D17" s="329">
        <f>+'[8]IG 2015'!Y13</f>
        <v>2486976916</v>
      </c>
      <c r="E17" s="343"/>
      <c r="F17" s="348">
        <v>2430522189.86</v>
      </c>
      <c r="G17" s="347"/>
      <c r="H17" s="338">
        <f t="shared" si="2"/>
        <v>-0.022700140792139088</v>
      </c>
      <c r="J17" s="342"/>
      <c r="L17" s="339">
        <f t="shared" si="1"/>
        <v>0.9281009379032714</v>
      </c>
      <c r="M17" s="326">
        <f>+'[8]PRESUPUESTO GENERAL'!Y14</f>
        <v>2618812340.9840946</v>
      </c>
      <c r="N17" s="312" t="str">
        <f>+'[8]PRESUPUESTO GENERAL'!A14</f>
        <v>FRESNO</v>
      </c>
      <c r="O17" s="346"/>
    </row>
    <row r="18" spans="1:15" s="345" customFormat="1" ht="15">
      <c r="A18" s="341"/>
      <c r="B18" s="303" t="str">
        <f t="shared" si="0"/>
        <v>FRIAS</v>
      </c>
      <c r="D18" s="329">
        <f>+'[8]IG 2015'!Y14</f>
        <v>347550497</v>
      </c>
      <c r="E18" s="343"/>
      <c r="F18" s="348">
        <v>228518268</v>
      </c>
      <c r="G18" s="347"/>
      <c r="H18" s="338">
        <f t="shared" si="2"/>
        <v>-0.34248901966035744</v>
      </c>
      <c r="J18" s="342"/>
      <c r="L18" s="339">
        <f t="shared" si="1"/>
        <v>0.5615594171871822</v>
      </c>
      <c r="M18" s="326">
        <f>+'[8]PRESUPUESTO GENERAL'!Y15</f>
        <v>406935154.15454066</v>
      </c>
      <c r="N18" s="312" t="str">
        <f>+'[8]PRESUPUESTO GENERAL'!A15</f>
        <v>FRIAS</v>
      </c>
      <c r="O18" s="346"/>
    </row>
    <row r="19" spans="1:15" s="345" customFormat="1" ht="15">
      <c r="A19" s="341"/>
      <c r="B19" s="303" t="str">
        <f t="shared" si="0"/>
        <v>HERVEO</v>
      </c>
      <c r="D19" s="329">
        <f>+'[8]IG 2015'!Y15</f>
        <v>420475810</v>
      </c>
      <c r="E19" s="343"/>
      <c r="F19" s="348">
        <v>370907176</v>
      </c>
      <c r="G19" s="347"/>
      <c r="H19" s="338">
        <f t="shared" si="2"/>
        <v>-0.11788700520013268</v>
      </c>
      <c r="J19" s="342"/>
      <c r="L19" s="339">
        <f t="shared" si="1"/>
        <v>0.8193272688268005</v>
      </c>
      <c r="M19" s="326">
        <f>+'[8]PRESUPUESTO GENERAL'!Y16</f>
        <v>452697218.94049025</v>
      </c>
      <c r="N19" s="312" t="str">
        <f>+'[8]PRESUPUESTO GENERAL'!A16</f>
        <v>HERVEO</v>
      </c>
      <c r="O19" s="346"/>
    </row>
    <row r="20" spans="1:15" s="345" customFormat="1" ht="15">
      <c r="A20" s="341"/>
      <c r="B20" s="303" t="str">
        <f t="shared" si="0"/>
        <v>PADUA</v>
      </c>
      <c r="D20" s="329">
        <f>+'[8]IG 2015'!Y16</f>
        <v>221909505</v>
      </c>
      <c r="E20" s="343"/>
      <c r="F20" s="348">
        <v>195166111</v>
      </c>
      <c r="G20" s="347"/>
      <c r="H20" s="338">
        <f t="shared" si="2"/>
        <v>-0.1205148648319503</v>
      </c>
      <c r="J20" s="342"/>
      <c r="L20" s="339">
        <f t="shared" si="1"/>
        <v>0.8578180467117639</v>
      </c>
      <c r="M20" s="326">
        <f>+'[8]PRESUPUESTO GENERAL'!Y17</f>
        <v>227514578.11842692</v>
      </c>
      <c r="N20" s="312" t="str">
        <f>+'[8]PRESUPUESTO GENERAL'!A17</f>
        <v>PADUA</v>
      </c>
      <c r="O20" s="346"/>
    </row>
    <row r="21" spans="1:15" s="345" customFormat="1" ht="15">
      <c r="A21" s="341"/>
      <c r="B21" s="303" t="str">
        <f t="shared" si="0"/>
        <v>PALOCABILDO</v>
      </c>
      <c r="D21" s="329">
        <f>+'[8]IG 2015'!Y17</f>
        <v>1918783094</v>
      </c>
      <c r="E21" s="131"/>
      <c r="F21" s="348">
        <v>1976708273.24</v>
      </c>
      <c r="G21" s="132"/>
      <c r="H21" s="338">
        <f t="shared" si="2"/>
        <v>0.03018849781464669</v>
      </c>
      <c r="J21" s="342"/>
      <c r="L21" s="339">
        <f t="shared" si="1"/>
        <v>0.9387224946414706</v>
      </c>
      <c r="M21" s="326">
        <f>+'[8]PRESUPUESTO GENERAL'!Y18</f>
        <v>2105742948.021045</v>
      </c>
      <c r="N21" s="312" t="str">
        <f>+'[8]PRESUPUESTO GENERAL'!A18</f>
        <v>PALOCABILDO</v>
      </c>
      <c r="O21" s="346"/>
    </row>
    <row r="22" spans="1:15" s="345" customFormat="1" ht="15">
      <c r="A22" s="341"/>
      <c r="B22" s="303" t="s">
        <v>540</v>
      </c>
      <c r="D22" s="329">
        <v>0</v>
      </c>
      <c r="E22" s="131"/>
      <c r="F22" s="348">
        <v>55502736</v>
      </c>
      <c r="G22" s="132"/>
      <c r="H22" s="338" t="e">
        <f t="shared" si="2"/>
        <v>#DIV/0!</v>
      </c>
      <c r="J22" s="342"/>
      <c r="L22" s="339" t="e">
        <f t="shared" si="1"/>
        <v>#DIV/0!</v>
      </c>
      <c r="M22" s="326">
        <f>+'[8]PRESUPUESTO GENERAL'!Y19</f>
        <v>0</v>
      </c>
      <c r="N22" s="312"/>
      <c r="O22" s="346"/>
    </row>
    <row r="23" spans="1:15" s="345" customFormat="1" ht="15">
      <c r="A23" s="341"/>
      <c r="B23" s="303"/>
      <c r="D23" s="329"/>
      <c r="E23" s="131"/>
      <c r="F23" s="344"/>
      <c r="G23" s="132"/>
      <c r="H23" s="338"/>
      <c r="J23" s="342"/>
      <c r="L23" s="339"/>
      <c r="M23" s="326"/>
      <c r="N23" s="312"/>
      <c r="O23" s="346"/>
    </row>
    <row r="24" spans="1:15" s="328" customFormat="1" ht="15">
      <c r="A24" s="327"/>
      <c r="B24" s="303" t="str">
        <f t="shared" si="0"/>
        <v>CARGUE Y DESCARGUE</v>
      </c>
      <c r="C24" s="330"/>
      <c r="D24" s="329">
        <f>+'[8]IG 2015'!Y48</f>
        <v>20143748</v>
      </c>
      <c r="E24" s="330"/>
      <c r="F24" s="352">
        <v>21333807</v>
      </c>
      <c r="G24" s="330"/>
      <c r="H24" s="338">
        <f t="shared" si="2"/>
        <v>0.05907833040802536</v>
      </c>
      <c r="J24" s="333"/>
      <c r="L24" s="339">
        <f t="shared" si="1"/>
        <v>1.0044165254237287</v>
      </c>
      <c r="M24" s="326">
        <f>+'[8]PRESUPUESTO GENERAL'!Y21</f>
        <v>21240000</v>
      </c>
      <c r="N24" s="312" t="str">
        <f>+'[8]PRESUPUESTO GENERAL'!A21</f>
        <v>CARGUE Y DESCARGUE</v>
      </c>
      <c r="O24" s="340"/>
    </row>
    <row r="25" spans="1:15" s="345" customFormat="1" ht="15">
      <c r="A25" s="341"/>
      <c r="B25" s="303">
        <f t="shared" si="0"/>
        <v>0</v>
      </c>
      <c r="D25" s="329"/>
      <c r="E25" s="131"/>
      <c r="F25" s="349"/>
      <c r="G25" s="132"/>
      <c r="H25" s="338" t="e">
        <f t="shared" si="2"/>
        <v>#DIV/0!</v>
      </c>
      <c r="J25" s="342"/>
      <c r="L25" s="339" t="e">
        <f t="shared" si="1"/>
        <v>#DIV/0!</v>
      </c>
      <c r="M25" s="326">
        <f>+'[8]PRESUPUESTO GENERAL'!Y22</f>
        <v>0</v>
      </c>
      <c r="N25" s="312">
        <f>+'[8]PRESUPUESTO GENERAL'!A22</f>
        <v>0</v>
      </c>
      <c r="O25" s="346"/>
    </row>
    <row r="26" spans="1:15" s="345" customFormat="1" ht="15">
      <c r="A26" s="341"/>
      <c r="B26" s="303">
        <f t="shared" si="0"/>
        <v>0</v>
      </c>
      <c r="D26" s="329"/>
      <c r="E26" s="131"/>
      <c r="F26" s="349"/>
      <c r="G26" s="132"/>
      <c r="H26" s="338" t="e">
        <f t="shared" si="2"/>
        <v>#DIV/0!</v>
      </c>
      <c r="J26" s="342"/>
      <c r="L26" s="339" t="e">
        <f t="shared" si="1"/>
        <v>#DIV/0!</v>
      </c>
      <c r="M26" s="326">
        <f>+'[8]PRESUPUESTO GENERAL'!Y23</f>
        <v>0</v>
      </c>
      <c r="N26" s="312">
        <f>+'[8]PRESUPUESTO GENERAL'!A23</f>
        <v>0</v>
      </c>
      <c r="O26" s="346"/>
    </row>
    <row r="27" spans="1:15" s="345" customFormat="1" ht="15">
      <c r="A27" s="341"/>
      <c r="B27" s="303" t="str">
        <f t="shared" si="0"/>
        <v>UTILIDAD OPERACIONAL</v>
      </c>
      <c r="D27" s="352">
        <f>+D7-D15</f>
        <v>579990199</v>
      </c>
      <c r="E27" s="352">
        <f>+E7-E15</f>
        <v>0</v>
      </c>
      <c r="F27" s="352">
        <f>+F7-F15</f>
        <v>633703336.8999996</v>
      </c>
      <c r="H27" s="338">
        <f t="shared" si="2"/>
        <v>0.0926104234047576</v>
      </c>
      <c r="J27" s="342"/>
      <c r="L27" s="339">
        <f t="shared" si="1"/>
        <v>0.97221048366004</v>
      </c>
      <c r="M27" s="326">
        <f>+'[8]PRESUPUESTO GENERAL'!Y24</f>
        <v>651817016.5315676</v>
      </c>
      <c r="N27" s="312" t="str">
        <f>+'[8]PRESUPUESTO GENERAL'!A24</f>
        <v>UTILIDAD OPERACIONAL</v>
      </c>
      <c r="O27" s="346"/>
    </row>
    <row r="28" spans="1:15" s="345" customFormat="1" ht="15">
      <c r="A28" s="341"/>
      <c r="B28" s="303">
        <f t="shared" si="0"/>
        <v>0</v>
      </c>
      <c r="D28" s="329"/>
      <c r="E28" s="131"/>
      <c r="F28" s="349"/>
      <c r="G28" s="132"/>
      <c r="H28" s="338" t="e">
        <f t="shared" si="2"/>
        <v>#DIV/0!</v>
      </c>
      <c r="J28" s="342"/>
      <c r="L28" s="339" t="e">
        <f t="shared" si="1"/>
        <v>#DIV/0!</v>
      </c>
      <c r="M28" s="326">
        <f>+'[8]PRESUPUESTO GENERAL'!Y25</f>
        <v>0</v>
      </c>
      <c r="N28" s="312">
        <f>+'[8]PRESUPUESTO GENERAL'!A25</f>
        <v>0</v>
      </c>
      <c r="O28" s="346"/>
    </row>
    <row r="29" spans="1:15" s="345" customFormat="1" ht="15">
      <c r="A29" s="341"/>
      <c r="B29" s="303" t="str">
        <f t="shared" si="0"/>
        <v>GASTOS OPERACIONALES</v>
      </c>
      <c r="D29" s="329">
        <f>SUM(D31:D68)</f>
        <v>165919118</v>
      </c>
      <c r="E29" s="329">
        <f>SUM(E31:E68)</f>
        <v>0</v>
      </c>
      <c r="F29" s="329">
        <f>SUM(F31:F68)</f>
        <v>178912595.13</v>
      </c>
      <c r="G29" s="132"/>
      <c r="H29" s="338">
        <f t="shared" si="2"/>
        <v>0.07831211548508832</v>
      </c>
      <c r="J29" s="342"/>
      <c r="L29" s="339">
        <f t="shared" si="1"/>
        <v>1.234206559004082</v>
      </c>
      <c r="M29" s="329">
        <f>SUM(M31:M68)</f>
        <v>144961630.47</v>
      </c>
      <c r="N29" s="312" t="str">
        <f>+'[8]PRESUPUESTO GENERAL'!A26</f>
        <v>GASTOS OPERACIONALES</v>
      </c>
      <c r="O29" s="346"/>
    </row>
    <row r="30" spans="1:15" s="345" customFormat="1" ht="15">
      <c r="A30" s="341"/>
      <c r="B30" s="303">
        <f t="shared" si="0"/>
        <v>0</v>
      </c>
      <c r="D30" s="329"/>
      <c r="E30" s="131"/>
      <c r="F30" s="349"/>
      <c r="G30" s="132"/>
      <c r="H30" s="338" t="e">
        <f t="shared" si="2"/>
        <v>#DIV/0!</v>
      </c>
      <c r="J30" s="342"/>
      <c r="L30" s="339" t="e">
        <f t="shared" si="1"/>
        <v>#DIV/0!</v>
      </c>
      <c r="M30" s="326">
        <f>+'[8]PRESUPUESTO GENERAL'!Y27</f>
        <v>0</v>
      </c>
      <c r="N30" s="312">
        <f>+'[8]PRESUPUESTO GENERAL'!A27</f>
        <v>0</v>
      </c>
      <c r="O30" s="346"/>
    </row>
    <row r="31" spans="1:15" s="345" customFormat="1" ht="15">
      <c r="A31" s="341"/>
      <c r="B31" s="303" t="str">
        <f t="shared" si="0"/>
        <v>SUELDOS</v>
      </c>
      <c r="D31" s="329">
        <f>+'[8]IG 2015'!Y22</f>
        <v>39505764</v>
      </c>
      <c r="E31" s="131"/>
      <c r="F31" s="349">
        <v>38394800</v>
      </c>
      <c r="G31" s="132"/>
      <c r="H31" s="338">
        <f t="shared" si="2"/>
        <v>-0.028121567273069317</v>
      </c>
      <c r="J31" s="342"/>
      <c r="L31" s="339">
        <f t="shared" si="1"/>
        <v>0.9900721509651932</v>
      </c>
      <c r="M31" s="326">
        <f>+'[8]PRESUPUESTO GENERAL'!Y28</f>
        <v>38779800</v>
      </c>
      <c r="N31" s="312" t="str">
        <f>+'[8]PRESUPUESTO GENERAL'!A28</f>
        <v>SUELDOS</v>
      </c>
      <c r="O31" s="346"/>
    </row>
    <row r="32" spans="1:15" s="345" customFormat="1" ht="15">
      <c r="A32" s="341"/>
      <c r="B32" s="303" t="str">
        <f t="shared" si="0"/>
        <v>HORAS EXTRAS</v>
      </c>
      <c r="D32" s="329">
        <f>+'[8]IG 2015'!Y23</f>
        <v>2331748</v>
      </c>
      <c r="E32" s="131"/>
      <c r="F32" s="349">
        <v>2748454</v>
      </c>
      <c r="G32" s="132"/>
      <c r="H32" s="338">
        <f t="shared" si="2"/>
        <v>0.17870970619466597</v>
      </c>
      <c r="J32" s="342"/>
      <c r="L32" s="339">
        <f t="shared" si="1"/>
        <v>1.4674308718238946</v>
      </c>
      <c r="M32" s="326">
        <f>+'[8]PRESUPUESTO GENERAL'!Y29</f>
        <v>1872970</v>
      </c>
      <c r="N32" s="312" t="str">
        <f>+'[8]PRESUPUESTO GENERAL'!A29</f>
        <v>HORAS EXTRAS</v>
      </c>
      <c r="O32" s="346"/>
    </row>
    <row r="33" spans="1:15" s="345" customFormat="1" ht="15">
      <c r="A33" s="341"/>
      <c r="B33" s="303" t="str">
        <f t="shared" si="0"/>
        <v>VIATICOS</v>
      </c>
      <c r="D33" s="329">
        <f>+'[8]IG 2015'!Y24</f>
        <v>0</v>
      </c>
      <c r="E33" s="131"/>
      <c r="F33" s="349">
        <v>0</v>
      </c>
      <c r="G33" s="132"/>
      <c r="H33" s="338" t="e">
        <f t="shared" si="2"/>
        <v>#DIV/0!</v>
      </c>
      <c r="J33" s="342"/>
      <c r="L33" s="339" t="e">
        <f t="shared" si="1"/>
        <v>#DIV/0!</v>
      </c>
      <c r="M33" s="326">
        <f>+'[8]PRESUPUESTO GENERAL'!Y30</f>
        <v>0</v>
      </c>
      <c r="N33" s="312" t="str">
        <f>+'[8]PRESUPUESTO GENERAL'!A30</f>
        <v>VIATICOS</v>
      </c>
      <c r="O33" s="346"/>
    </row>
    <row r="34" spans="1:15" s="345" customFormat="1" ht="15">
      <c r="A34" s="341"/>
      <c r="B34" s="303" t="str">
        <f t="shared" si="0"/>
        <v>CESANTIAS</v>
      </c>
      <c r="D34" s="329">
        <f>+'[8]IG 2015'!Y25</f>
        <v>3749715</v>
      </c>
      <c r="E34" s="131"/>
      <c r="F34" s="349">
        <v>3794699</v>
      </c>
      <c r="G34" s="132"/>
      <c r="H34" s="338">
        <f t="shared" si="2"/>
        <v>0.011996645078359288</v>
      </c>
      <c r="J34" s="342"/>
      <c r="L34" s="339">
        <f t="shared" si="1"/>
        <v>12.526239519376775</v>
      </c>
      <c r="M34" s="326">
        <f>+'[8]PRESUPUESTO GENERAL'!Y31</f>
        <v>302940</v>
      </c>
      <c r="N34" s="312" t="str">
        <f>+'[8]PRESUPUESTO GENERAL'!A31</f>
        <v>CESANTIAS</v>
      </c>
      <c r="O34" s="346"/>
    </row>
    <row r="35" spans="1:15" s="345" customFormat="1" ht="15">
      <c r="A35" s="341"/>
      <c r="B35" s="303" t="str">
        <f t="shared" si="0"/>
        <v>INTERESES SOBRE CESANTIAS</v>
      </c>
      <c r="D35" s="329">
        <f>+'[8]IG 2015'!Y26</f>
        <v>444769</v>
      </c>
      <c r="E35" s="131"/>
      <c r="F35" s="349">
        <v>463595</v>
      </c>
      <c r="G35" s="132"/>
      <c r="H35" s="338">
        <f t="shared" si="2"/>
        <v>0.042327590277200074</v>
      </c>
      <c r="J35" s="342"/>
      <c r="L35" s="339">
        <f t="shared" si="1"/>
        <v>12.751891074130105</v>
      </c>
      <c r="M35" s="326">
        <f>+'[8]PRESUPUESTO GENERAL'!Y32</f>
        <v>36355</v>
      </c>
      <c r="N35" s="312" t="str">
        <f>+'[8]PRESUPUESTO GENERAL'!A32</f>
        <v>INTERESES SOBRE CESANTIAS</v>
      </c>
      <c r="O35" s="346"/>
    </row>
    <row r="36" spans="1:15" s="345" customFormat="1" ht="15">
      <c r="A36" s="341"/>
      <c r="B36" s="303" t="str">
        <f t="shared" si="0"/>
        <v>PRIMA DE SERVICIOS</v>
      </c>
      <c r="D36" s="329">
        <f>+'[8]IG 2015'!Y27</f>
        <v>3407759</v>
      </c>
      <c r="E36" s="131"/>
      <c r="F36" s="349">
        <v>3269891</v>
      </c>
      <c r="G36" s="132"/>
      <c r="H36" s="338">
        <f t="shared" si="2"/>
        <v>-0.04045708631390894</v>
      </c>
      <c r="J36" s="342"/>
      <c r="L36" s="339">
        <f t="shared" si="1"/>
        <v>12.147148853969316</v>
      </c>
      <c r="M36" s="326">
        <f>+'[8]PRESUPUESTO GENERAL'!Y33</f>
        <v>269190</v>
      </c>
      <c r="N36" s="312" t="str">
        <f>+'[8]PRESUPUESTO GENERAL'!A33</f>
        <v>PRIMA DE SERVICIOS</v>
      </c>
      <c r="O36" s="346"/>
    </row>
    <row r="37" spans="1:15" s="345" customFormat="1" ht="15">
      <c r="A37" s="341"/>
      <c r="B37" s="303" t="str">
        <f t="shared" si="0"/>
        <v>VACACIONES</v>
      </c>
      <c r="D37" s="329">
        <f>+'[8]IG 2015'!Y28</f>
        <v>1787065</v>
      </c>
      <c r="E37" s="131"/>
      <c r="F37" s="349">
        <v>1497794</v>
      </c>
      <c r="G37" s="132"/>
      <c r="H37" s="338">
        <f t="shared" si="2"/>
        <v>-0.1618693220448053</v>
      </c>
      <c r="J37" s="342"/>
      <c r="L37" s="339">
        <f t="shared" si="1"/>
        <v>10.665769422488072</v>
      </c>
      <c r="M37" s="326">
        <f>+'[8]PRESUPUESTO GENERAL'!Y34</f>
        <v>140430</v>
      </c>
      <c r="N37" s="312" t="str">
        <f>+'[8]PRESUPUESTO GENERAL'!A34</f>
        <v>VACACIONES</v>
      </c>
      <c r="O37" s="346"/>
    </row>
    <row r="38" spans="1:15" s="345" customFormat="1" ht="15">
      <c r="A38" s="341"/>
      <c r="B38" s="303" t="str">
        <f t="shared" si="0"/>
        <v>PRIMA EXTRALEGAL</v>
      </c>
      <c r="D38" s="329">
        <f>+'[8]IG 2015'!Y29</f>
        <v>3407448</v>
      </c>
      <c r="E38" s="131"/>
      <c r="F38" s="349">
        <v>3269929</v>
      </c>
      <c r="G38" s="132"/>
      <c r="H38" s="338">
        <f t="shared" si="2"/>
        <v>-0.040358356165670024</v>
      </c>
      <c r="J38" s="342"/>
      <c r="L38" s="339">
        <f t="shared" si="1"/>
        <v>12.147290018202757</v>
      </c>
      <c r="M38" s="326">
        <f>+'[8]PRESUPUESTO GENERAL'!Y35</f>
        <v>269190</v>
      </c>
      <c r="N38" s="312" t="str">
        <f>+'[8]PRESUPUESTO GENERAL'!A35</f>
        <v>PRIMA EXTRALEGAL</v>
      </c>
      <c r="O38" s="346"/>
    </row>
    <row r="39" spans="1:15" s="345" customFormat="1" ht="15">
      <c r="A39" s="341"/>
      <c r="B39" s="303" t="str">
        <f t="shared" si="0"/>
        <v>DOTACION Y SUMINISTROS</v>
      </c>
      <c r="D39" s="329">
        <f>+'[8]IG 2015'!Y30</f>
        <v>2184885</v>
      </c>
      <c r="E39" s="131"/>
      <c r="F39" s="349">
        <v>1782000</v>
      </c>
      <c r="G39" s="132"/>
      <c r="H39" s="338">
        <f t="shared" si="2"/>
        <v>-0.18439643276419582</v>
      </c>
      <c r="J39" s="342"/>
      <c r="L39" s="339">
        <f t="shared" si="1"/>
        <v>8.861670663618291</v>
      </c>
      <c r="M39" s="326">
        <f>+'[8]PRESUPUESTO GENERAL'!Y36</f>
        <v>201090.75</v>
      </c>
      <c r="N39" s="312" t="str">
        <f>+'[8]PRESUPUESTO GENERAL'!A36</f>
        <v>DOTACION Y SUMINISTROS</v>
      </c>
      <c r="O39" s="346"/>
    </row>
    <row r="40" spans="1:15" s="345" customFormat="1" ht="15">
      <c r="A40" s="341"/>
      <c r="B40" s="303" t="str">
        <f t="shared" si="0"/>
        <v>APORTES A SALUD</v>
      </c>
      <c r="D40" s="329">
        <f>+'[8]IG 2015'!Y31</f>
        <v>4057435</v>
      </c>
      <c r="E40" s="131"/>
      <c r="F40" s="349">
        <v>4908276</v>
      </c>
      <c r="G40" s="132"/>
      <c r="H40" s="338">
        <f t="shared" si="2"/>
        <v>0.2096992311645165</v>
      </c>
      <c r="J40" s="342"/>
      <c r="L40" s="339">
        <f t="shared" si="1"/>
        <v>1.420424251193749</v>
      </c>
      <c r="M40" s="326">
        <f>+'[8]PRESUPUESTO GENERAL'!Y37</f>
        <v>3455500</v>
      </c>
      <c r="N40" s="312" t="str">
        <f>+'[8]PRESUPUESTO GENERAL'!A37</f>
        <v>APORTES A SALUD</v>
      </c>
      <c r="O40" s="346"/>
    </row>
    <row r="41" spans="1:15" s="345" customFormat="1" ht="15">
      <c r="A41" s="341"/>
      <c r="B41" s="303" t="str">
        <f t="shared" si="0"/>
        <v>APORTES A PENSION</v>
      </c>
      <c r="C41" s="353"/>
      <c r="D41" s="329">
        <f>+'[8]IG 2015'!Y32</f>
        <v>6017591</v>
      </c>
      <c r="E41" s="131"/>
      <c r="F41" s="349">
        <v>4427241</v>
      </c>
      <c r="G41" s="132"/>
      <c r="H41" s="338">
        <f t="shared" si="2"/>
        <v>-0.2642834981639663</v>
      </c>
      <c r="J41" s="342"/>
      <c r="L41" s="339">
        <f t="shared" si="1"/>
        <v>0.9075358064575642</v>
      </c>
      <c r="M41" s="326">
        <f>+'[8]PRESUPUESTO GENERAL'!Y38</f>
        <v>4878310</v>
      </c>
      <c r="N41" s="312" t="str">
        <f>+'[8]PRESUPUESTO GENERAL'!A38</f>
        <v>APORTES A PENSION</v>
      </c>
      <c r="O41" s="346"/>
    </row>
    <row r="42" spans="1:15" s="345" customFormat="1" ht="15">
      <c r="A42" s="341"/>
      <c r="B42" s="303" t="str">
        <f t="shared" si="0"/>
        <v>ARP</v>
      </c>
      <c r="D42" s="329">
        <f>+'[8]IG 2015'!Y33</f>
        <v>1614259</v>
      </c>
      <c r="E42" s="131"/>
      <c r="F42" s="349">
        <v>587008</v>
      </c>
      <c r="G42" s="132"/>
      <c r="H42" s="338">
        <f t="shared" si="2"/>
        <v>-0.6363607079161399</v>
      </c>
      <c r="J42" s="342"/>
      <c r="L42" s="339">
        <f t="shared" si="1"/>
        <v>1.3831153837091492</v>
      </c>
      <c r="M42" s="326">
        <f>+'[8]PRESUPUESTO GENERAL'!Y39</f>
        <v>424410</v>
      </c>
      <c r="N42" s="312" t="str">
        <f>+'[8]PRESUPUESTO GENERAL'!A39</f>
        <v>ARP</v>
      </c>
      <c r="O42" s="346"/>
    </row>
    <row r="43" spans="1:15" s="345" customFormat="1" ht="15">
      <c r="A43" s="341"/>
      <c r="B43" s="303" t="str">
        <f t="shared" si="0"/>
        <v>APORTES A CAJA DE COMPENSACION</v>
      </c>
      <c r="D43" s="329">
        <f>+'[8]IG 2015'!Y34</f>
        <v>2007424</v>
      </c>
      <c r="E43" s="131"/>
      <c r="F43" s="351">
        <v>2414151</v>
      </c>
      <c r="G43" s="132"/>
      <c r="H43" s="338">
        <f t="shared" si="2"/>
        <v>0.20261140645922338</v>
      </c>
      <c r="J43" s="342"/>
      <c r="L43" s="339">
        <f t="shared" si="1"/>
        <v>1.484626406740053</v>
      </c>
      <c r="M43" s="326">
        <f>+'[8]PRESUPUESTO GENERAL'!Y40</f>
        <v>1626100</v>
      </c>
      <c r="N43" s="312" t="str">
        <f>+'[8]PRESUPUESTO GENERAL'!A40</f>
        <v>APORTES A CAJA DE COMPENSACION</v>
      </c>
      <c r="O43" s="346"/>
    </row>
    <row r="44" spans="1:15" s="345" customFormat="1" ht="15">
      <c r="A44" s="341"/>
      <c r="B44" s="303" t="str">
        <f t="shared" si="0"/>
        <v>ICBF</v>
      </c>
      <c r="D44" s="329">
        <f>+'[8]IG 2015'!Y35</f>
        <v>1505525</v>
      </c>
      <c r="E44" s="131"/>
      <c r="F44" s="349">
        <v>1810405</v>
      </c>
      <c r="G44" s="132"/>
      <c r="H44" s="338">
        <f t="shared" si="2"/>
        <v>0.202507430962621</v>
      </c>
      <c r="J44" s="342"/>
      <c r="L44" s="339">
        <f t="shared" si="1"/>
        <v>1.4844617365136892</v>
      </c>
      <c r="M44" s="326">
        <f>+'[8]PRESUPUESTO GENERAL'!Y41</f>
        <v>1219570</v>
      </c>
      <c r="N44" s="312" t="str">
        <f>+'[8]PRESUPUESTO GENERAL'!A41</f>
        <v>ICBF</v>
      </c>
      <c r="O44" s="346"/>
    </row>
    <row r="45" spans="1:15" s="345" customFormat="1" ht="15">
      <c r="A45" s="341"/>
      <c r="B45" s="303" t="str">
        <f t="shared" si="0"/>
        <v>SENA</v>
      </c>
      <c r="D45" s="329">
        <f>+'[8]IG 2015'!Y36</f>
        <v>1033926</v>
      </c>
      <c r="E45" s="131"/>
      <c r="F45" s="349">
        <v>1207087</v>
      </c>
      <c r="G45" s="132"/>
      <c r="H45" s="338">
        <f t="shared" si="2"/>
        <v>0.1674791039203966</v>
      </c>
      <c r="J45" s="342"/>
      <c r="L45" s="339">
        <f t="shared" si="1"/>
        <v>1.4846040316331928</v>
      </c>
      <c r="M45" s="326">
        <f>+'[8]PRESUPUESTO GENERAL'!Y42</f>
        <v>813070</v>
      </c>
      <c r="N45" s="312" t="str">
        <f>+'[8]PRESUPUESTO GENERAL'!A42</f>
        <v>SENA</v>
      </c>
      <c r="O45" s="346"/>
    </row>
    <row r="46" spans="1:15" s="345" customFormat="1" ht="16.5" customHeight="1">
      <c r="A46" s="341"/>
      <c r="B46" s="303" t="str">
        <f t="shared" si="0"/>
        <v>PRIMA DE VACACIONES</v>
      </c>
      <c r="D46" s="329">
        <f>+'[8]IG 2015'!Y37</f>
        <v>917856</v>
      </c>
      <c r="E46" s="131"/>
      <c r="F46" s="349">
        <v>1173780</v>
      </c>
      <c r="G46" s="132"/>
      <c r="H46" s="338">
        <f t="shared" si="2"/>
        <v>0.2788280514590524</v>
      </c>
      <c r="J46" s="342"/>
      <c r="L46" s="339">
        <f t="shared" si="1"/>
        <v>0.7263849695529482</v>
      </c>
      <c r="M46" s="326">
        <f>+'[8]PRESUPUESTO GENERAL'!Y43</f>
        <v>1615920</v>
      </c>
      <c r="N46" s="312" t="str">
        <f>+'[8]PRESUPUESTO GENERAL'!A43</f>
        <v>PRIMA DE VACACIONES</v>
      </c>
      <c r="O46" s="346"/>
    </row>
    <row r="47" spans="1:15" s="345" customFormat="1" ht="13.5" customHeight="1">
      <c r="A47" s="341"/>
      <c r="B47" s="303" t="str">
        <f t="shared" si="0"/>
        <v>PROV. BONIFICACION</v>
      </c>
      <c r="D47" s="329">
        <f>+'[8]IG 2015'!Y38</f>
        <v>3420250</v>
      </c>
      <c r="E47" s="131"/>
      <c r="F47" s="351">
        <v>1363050</v>
      </c>
      <c r="G47" s="347"/>
      <c r="H47" s="338">
        <f t="shared" si="2"/>
        <v>-0.6014765002558292</v>
      </c>
      <c r="J47" s="342"/>
      <c r="L47" s="339">
        <f t="shared" si="1"/>
        <v>0.8435132927372643</v>
      </c>
      <c r="M47" s="326">
        <f>+'[8]PRESUPUESTO GENERAL'!Y44</f>
        <v>1615920</v>
      </c>
      <c r="N47" s="312" t="str">
        <f>+'[8]PRESUPUESTO GENERAL'!A44</f>
        <v>PROV. BONIFICACION</v>
      </c>
      <c r="O47" s="346"/>
    </row>
    <row r="48" spans="1:15" s="345" customFormat="1" ht="15">
      <c r="A48" s="341"/>
      <c r="B48" s="303" t="str">
        <f t="shared" si="0"/>
        <v>INDUSTRIA Y COMERCIO</v>
      </c>
      <c r="D48" s="329">
        <f>+'[8]IG 2015'!Y39</f>
        <v>7165000</v>
      </c>
      <c r="E48" s="131"/>
      <c r="F48" s="349">
        <v>19992522</v>
      </c>
      <c r="G48" s="132"/>
      <c r="H48" s="338">
        <f t="shared" si="2"/>
        <v>1.790303140265178</v>
      </c>
      <c r="J48" s="342"/>
      <c r="L48" s="339">
        <f t="shared" si="1"/>
        <v>2.082554375</v>
      </c>
      <c r="M48" s="326">
        <f>+'[8]PRESUPUESTO GENERAL'!Y45</f>
        <v>9600000</v>
      </c>
      <c r="N48" s="312" t="str">
        <f>+'[8]PRESUPUESTO GENERAL'!A45</f>
        <v>INDUSTRIA Y COMERCIO</v>
      </c>
      <c r="O48" s="346"/>
    </row>
    <row r="49" spans="1:15" s="345" customFormat="1" ht="15">
      <c r="A49" s="341"/>
      <c r="B49" s="303" t="str">
        <f t="shared" si="0"/>
        <v>A LA PROPIEDAD RAIZ</v>
      </c>
      <c r="D49" s="329">
        <f>+'[8]IG 2015'!Y40</f>
        <v>313128</v>
      </c>
      <c r="E49" s="131"/>
      <c r="F49" s="349">
        <v>585124</v>
      </c>
      <c r="G49" s="132"/>
      <c r="H49" s="338">
        <f t="shared" si="2"/>
        <v>0.8686415778850821</v>
      </c>
      <c r="J49" s="342"/>
      <c r="L49" s="339">
        <f t="shared" si="1"/>
        <v>1.7731030303030304</v>
      </c>
      <c r="M49" s="326">
        <f>+'[8]PRESUPUESTO GENERAL'!Y46</f>
        <v>330000</v>
      </c>
      <c r="N49" s="312" t="str">
        <f>+'[8]PRESUPUESTO GENERAL'!A46</f>
        <v>A LA PROPIEDAD RAIZ</v>
      </c>
      <c r="O49" s="346"/>
    </row>
    <row r="50" spans="1:15" s="345" customFormat="1" ht="15">
      <c r="A50" s="341"/>
      <c r="B50" s="303" t="str">
        <f t="shared" si="0"/>
        <v>4X1000</v>
      </c>
      <c r="D50" s="329">
        <f>+'[8]IG 2015'!Y41</f>
        <v>0</v>
      </c>
      <c r="E50" s="131"/>
      <c r="F50" s="349">
        <v>0</v>
      </c>
      <c r="G50" s="132"/>
      <c r="H50" s="338" t="e">
        <f t="shared" si="2"/>
        <v>#DIV/0!</v>
      </c>
      <c r="J50" s="342"/>
      <c r="L50" s="339" t="e">
        <f t="shared" si="1"/>
        <v>#DIV/0!</v>
      </c>
      <c r="M50" s="326">
        <f>+'[8]PRESUPUESTO GENERAL'!Y47</f>
        <v>0</v>
      </c>
      <c r="N50" s="312" t="str">
        <f>+'[8]PRESUPUESTO GENERAL'!A47</f>
        <v>4X1000</v>
      </c>
      <c r="O50" s="346"/>
    </row>
    <row r="51" spans="1:15" s="345" customFormat="1" ht="15">
      <c r="A51" s="341"/>
      <c r="B51" s="303" t="s">
        <v>175</v>
      </c>
      <c r="D51" s="329">
        <f>+'[8]IG 2015'!Y60</f>
        <v>5986934</v>
      </c>
      <c r="E51" s="131"/>
      <c r="F51" s="349">
        <v>6612266</v>
      </c>
      <c r="G51" s="132"/>
      <c r="H51" s="338">
        <f>+(F51-D51)/D51</f>
        <v>0.10444945609889804</v>
      </c>
      <c r="J51" s="342"/>
      <c r="L51" s="339">
        <f>+F51/M51</f>
        <v>0.7545837498212442</v>
      </c>
      <c r="M51" s="326">
        <f>+'[8]PRESUPUESTO GENERAL'!Y20</f>
        <v>8762799.360000001</v>
      </c>
      <c r="N51" s="312"/>
      <c r="O51" s="346"/>
    </row>
    <row r="52" spans="1:15" s="345" customFormat="1" ht="15">
      <c r="A52" s="341"/>
      <c r="B52" s="303" t="str">
        <f t="shared" si="0"/>
        <v>SEGUROS</v>
      </c>
      <c r="D52" s="329">
        <f>+'[8]IG 2015'!Y42</f>
        <v>30535592</v>
      </c>
      <c r="E52" s="131"/>
      <c r="F52" s="349">
        <v>28159428</v>
      </c>
      <c r="G52" s="132"/>
      <c r="H52" s="338">
        <f t="shared" si="2"/>
        <v>-0.07781620870491066</v>
      </c>
      <c r="J52" s="342"/>
      <c r="L52" s="339">
        <f t="shared" si="1"/>
        <v>0.7182976484791802</v>
      </c>
      <c r="M52" s="326">
        <f>+'[8]PRESUPUESTO GENERAL'!Y48</f>
        <v>39203007.36000001</v>
      </c>
      <c r="N52" s="312" t="str">
        <f>+'[8]PRESUPUESTO GENERAL'!A48</f>
        <v>SEGUROS</v>
      </c>
      <c r="O52" s="346"/>
    </row>
    <row r="53" spans="1:15" s="345" customFormat="1" ht="15">
      <c r="A53" s="341"/>
      <c r="B53" s="303" t="str">
        <f t="shared" si="0"/>
        <v>ACUEDUCTO Y ALCANTARILLADO</v>
      </c>
      <c r="D53" s="329">
        <f>+'[8]IG 2015'!Y43</f>
        <v>278967</v>
      </c>
      <c r="E53" s="131"/>
      <c r="F53" s="349">
        <v>203063</v>
      </c>
      <c r="G53" s="132"/>
      <c r="H53" s="338">
        <f t="shared" si="2"/>
        <v>-0.27208953030286737</v>
      </c>
      <c r="J53" s="342"/>
      <c r="L53" s="339">
        <f t="shared" si="1"/>
        <v>0.5640638888888889</v>
      </c>
      <c r="M53" s="326">
        <f>+'[8]PRESUPUESTO GENERAL'!Y49</f>
        <v>360000</v>
      </c>
      <c r="N53" s="312" t="str">
        <f>+'[8]PRESUPUESTO GENERAL'!A49</f>
        <v>ACUEDUCTO Y ALCANTARILLADO</v>
      </c>
      <c r="O53" s="346"/>
    </row>
    <row r="54" spans="1:15" s="345" customFormat="1" ht="15">
      <c r="A54" s="341"/>
      <c r="B54" s="303" t="str">
        <f t="shared" si="0"/>
        <v>ENERGIA ELECTRICA</v>
      </c>
      <c r="D54" s="329">
        <f>+'[8]IG 2015'!Y44</f>
        <v>2659405</v>
      </c>
      <c r="E54" s="131"/>
      <c r="F54" s="349">
        <v>3087318</v>
      </c>
      <c r="G54" s="132"/>
      <c r="H54" s="338">
        <f t="shared" si="2"/>
        <v>0.1609055409010662</v>
      </c>
      <c r="J54" s="342"/>
      <c r="L54" s="339">
        <f t="shared" si="1"/>
        <v>1.2251261904761905</v>
      </c>
      <c r="M54" s="326">
        <f>+'[8]PRESUPUESTO GENERAL'!Y50</f>
        <v>2520000</v>
      </c>
      <c r="N54" s="312" t="str">
        <f>+'[8]PRESUPUESTO GENERAL'!A50</f>
        <v>ENERGIA ELECTRICA</v>
      </c>
      <c r="O54" s="346"/>
    </row>
    <row r="55" spans="1:15" s="345" customFormat="1" ht="15">
      <c r="A55" s="341"/>
      <c r="B55" s="303" t="str">
        <f t="shared" si="0"/>
        <v>TELEFONO</v>
      </c>
      <c r="D55" s="329">
        <f>+'[8]IG 2015'!Y45</f>
        <v>1502877</v>
      </c>
      <c r="E55" s="131"/>
      <c r="F55" s="349">
        <v>1799591</v>
      </c>
      <c r="G55" s="132"/>
      <c r="H55" s="338">
        <f t="shared" si="2"/>
        <v>0.19743066132491216</v>
      </c>
      <c r="J55" s="342"/>
      <c r="L55" s="339">
        <f t="shared" si="1"/>
        <v>1.3006584272911246</v>
      </c>
      <c r="M55" s="326">
        <f>+'[8]PRESUPUESTO GENERAL'!Y51</f>
        <v>1383600</v>
      </c>
      <c r="N55" s="312" t="str">
        <f>+'[8]PRESUPUESTO GENERAL'!A51</f>
        <v>TELEFONO</v>
      </c>
      <c r="O55" s="346"/>
    </row>
    <row r="56" spans="1:15" s="345" customFormat="1" ht="15">
      <c r="A56" s="341"/>
      <c r="B56" s="303" t="str">
        <f t="shared" si="0"/>
        <v>TRANSPORTE Y FLETES</v>
      </c>
      <c r="D56" s="329">
        <f>+'[8]IG 2015'!Y46</f>
        <v>0</v>
      </c>
      <c r="E56" s="131"/>
      <c r="F56" s="349">
        <v>583500</v>
      </c>
      <c r="G56" s="132"/>
      <c r="H56" s="338" t="e">
        <f t="shared" si="2"/>
        <v>#DIV/0!</v>
      </c>
      <c r="J56" s="342"/>
      <c r="L56" s="339" t="e">
        <f t="shared" si="1"/>
        <v>#DIV/0!</v>
      </c>
      <c r="M56" s="326">
        <f>+'[8]PRESUPUESTO GENERAL'!Y52</f>
        <v>0</v>
      </c>
      <c r="N56" s="312" t="str">
        <f>+'[8]PRESUPUESTO GENERAL'!A52</f>
        <v>TRANSPORTE Y FLETES</v>
      </c>
      <c r="O56" s="346"/>
    </row>
    <row r="57" spans="1:15" s="345" customFormat="1" ht="15">
      <c r="A57" s="341"/>
      <c r="B57" s="303" t="str">
        <f t="shared" si="0"/>
        <v>PUBLICIDAD Y PROPAGANDA</v>
      </c>
      <c r="D57" s="329">
        <f>+'[8]IG 2015'!Y47</f>
        <v>10000</v>
      </c>
      <c r="E57" s="354"/>
      <c r="F57" s="349">
        <v>110000</v>
      </c>
      <c r="G57" s="132"/>
      <c r="H57" s="338">
        <f t="shared" si="2"/>
        <v>10</v>
      </c>
      <c r="J57" s="342"/>
      <c r="L57" s="339">
        <f t="shared" si="1"/>
        <v>0.4583333333333333</v>
      </c>
      <c r="M57" s="326">
        <f>+'[8]PRESUPUESTO GENERAL'!Y53</f>
        <v>240000</v>
      </c>
      <c r="N57" s="312" t="str">
        <f>+'[8]PRESUPUESTO GENERAL'!A53</f>
        <v>PUBLICIDAD Y PROPAGANDA</v>
      </c>
      <c r="O57" s="346"/>
    </row>
    <row r="58" spans="1:15" s="345" customFormat="1" ht="15">
      <c r="A58" s="341"/>
      <c r="B58" s="303" t="str">
        <f t="shared" si="0"/>
        <v>MANTENIMIENTOS</v>
      </c>
      <c r="D58" s="329">
        <f>+'[8]IG 2015'!Y49</f>
        <v>1124194</v>
      </c>
      <c r="E58" s="131"/>
      <c r="F58" s="349">
        <v>957375</v>
      </c>
      <c r="G58" s="132"/>
      <c r="H58" s="338">
        <f t="shared" si="2"/>
        <v>-0.14838986865256354</v>
      </c>
      <c r="J58" s="342"/>
      <c r="L58" s="339">
        <f t="shared" si="1"/>
        <v>0.8398026315789474</v>
      </c>
      <c r="M58" s="326">
        <f>+'[8]PRESUPUESTO GENERAL'!Y54</f>
        <v>1140000</v>
      </c>
      <c r="N58" s="312" t="str">
        <f>+'[8]PRESUPUESTO GENERAL'!A54</f>
        <v>MANTENIMIENTOS</v>
      </c>
      <c r="O58" s="346"/>
    </row>
    <row r="59" spans="1:15" s="345" customFormat="1" ht="15">
      <c r="A59" s="341"/>
      <c r="B59" s="303" t="str">
        <f t="shared" si="0"/>
        <v>REPARACIONES LOCATIVAS</v>
      </c>
      <c r="D59" s="329">
        <f>+'[8]IG 2015'!Y50</f>
        <v>1330418</v>
      </c>
      <c r="E59" s="131"/>
      <c r="F59" s="351">
        <v>840991</v>
      </c>
      <c r="G59" s="132"/>
      <c r="H59" s="338">
        <f t="shared" si="2"/>
        <v>-0.36787460783002035</v>
      </c>
      <c r="J59" s="342"/>
      <c r="L59" s="339">
        <f t="shared" si="1"/>
        <v>0.5964475177304964</v>
      </c>
      <c r="M59" s="326">
        <f>+'[8]PRESUPUESTO GENERAL'!Y55</f>
        <v>1410000</v>
      </c>
      <c r="N59" s="312" t="str">
        <f>+'[8]PRESUPUESTO GENERAL'!A55</f>
        <v>REPARACIONES LOCATIVAS</v>
      </c>
      <c r="O59" s="346"/>
    </row>
    <row r="60" spans="1:15" s="345" customFormat="1" ht="15">
      <c r="A60" s="341"/>
      <c r="B60" s="303" t="str">
        <f t="shared" si="0"/>
        <v>GASTOS DE VIAJES</v>
      </c>
      <c r="D60" s="329">
        <f>+'[8]IG 2015'!Y51</f>
        <v>4512965</v>
      </c>
      <c r="E60" s="131"/>
      <c r="F60" s="351">
        <v>3252170</v>
      </c>
      <c r="G60" s="132"/>
      <c r="H60" s="338">
        <f t="shared" si="2"/>
        <v>-0.2793717655687558</v>
      </c>
      <c r="J60" s="342"/>
      <c r="L60" s="339">
        <f t="shared" si="1"/>
        <v>0.6691707818930042</v>
      </c>
      <c r="M60" s="326">
        <f>+'[8]PRESUPUESTO GENERAL'!Y56</f>
        <v>4860000</v>
      </c>
      <c r="N60" s="312" t="str">
        <f>+'[8]PRESUPUESTO GENERAL'!A56</f>
        <v>GASTOS DE VIAJES</v>
      </c>
      <c r="O60" s="346"/>
    </row>
    <row r="61" spans="1:15" s="345" customFormat="1" ht="15">
      <c r="A61" s="341"/>
      <c r="B61" s="303" t="str">
        <f t="shared" si="0"/>
        <v>DEPRECIACION</v>
      </c>
      <c r="D61" s="329">
        <f>+'[8]IG 2015'!Y52</f>
        <v>11751147</v>
      </c>
      <c r="E61" s="131"/>
      <c r="F61" s="349">
        <v>8472459.129999999</v>
      </c>
      <c r="G61" s="132"/>
      <c r="H61" s="338">
        <f t="shared" si="2"/>
        <v>-0.27901002940393826</v>
      </c>
      <c r="J61" s="342"/>
      <c r="L61" s="339">
        <f t="shared" si="1"/>
        <v>0.6992554826516126</v>
      </c>
      <c r="M61" s="326">
        <f>+'[8]PRESUPUESTO GENERAL'!Y57</f>
        <v>12116400</v>
      </c>
      <c r="N61" s="312" t="str">
        <f>+'[8]PRESUPUESTO GENERAL'!A57</f>
        <v>DEPRECIACION</v>
      </c>
      <c r="O61" s="346"/>
    </row>
    <row r="62" spans="1:15" s="345" customFormat="1" ht="15">
      <c r="A62" s="341"/>
      <c r="B62" s="303" t="str">
        <f t="shared" si="0"/>
        <v>COMISIONES</v>
      </c>
      <c r="D62" s="329">
        <f>+'[8]IG 2015'!Y53</f>
        <v>859011</v>
      </c>
      <c r="E62" s="131"/>
      <c r="F62" s="349">
        <f>726565+914995</f>
        <v>1641560</v>
      </c>
      <c r="G62" s="132"/>
      <c r="H62" s="338">
        <f t="shared" si="2"/>
        <v>0.9109883342588162</v>
      </c>
      <c r="J62" s="342"/>
      <c r="L62" s="339">
        <f t="shared" si="1"/>
        <v>1.0780884479640207</v>
      </c>
      <c r="M62" s="326">
        <f>+'[8]PRESUPUESTO GENERAL'!Y58</f>
        <v>1522658</v>
      </c>
      <c r="N62" s="312" t="str">
        <f>+'[8]PRESUPUESTO GENERAL'!A58</f>
        <v>COMISIONES</v>
      </c>
      <c r="O62" s="346"/>
    </row>
    <row r="63" spans="1:15" s="345" customFormat="1" ht="15">
      <c r="A63" s="341"/>
      <c r="B63" s="303" t="str">
        <f t="shared" si="0"/>
        <v>UTILES, PAPELERIA Y FOTOCOPIAS</v>
      </c>
      <c r="D63" s="329">
        <f>+'[8]IG 2015'!Y54</f>
        <v>1665900</v>
      </c>
      <c r="E63" s="355"/>
      <c r="F63" s="349">
        <f>3202564+251175</f>
        <v>3453739</v>
      </c>
      <c r="G63" s="132"/>
      <c r="H63" s="338">
        <f t="shared" si="2"/>
        <v>1.0731970706525003</v>
      </c>
      <c r="J63" s="342"/>
      <c r="L63" s="339">
        <f t="shared" si="1"/>
        <v>2.041216903073286</v>
      </c>
      <c r="M63" s="326">
        <f>+'[8]PRESUPUESTO GENERAL'!Y59</f>
        <v>1692000</v>
      </c>
      <c r="N63" s="312" t="str">
        <f>+'[8]PRESUPUESTO GENERAL'!A59</f>
        <v>UTILES, PAPELERIA Y FOTOCOPIAS</v>
      </c>
      <c r="O63" s="346"/>
    </row>
    <row r="64" spans="1:15" s="345" customFormat="1" ht="15">
      <c r="A64" s="341"/>
      <c r="B64" s="303" t="str">
        <f t="shared" si="0"/>
        <v>ELEMENTOS DE ASEO</v>
      </c>
      <c r="D64" s="329">
        <f>+'[8]IG 2015'!Y55</f>
        <v>676232</v>
      </c>
      <c r="E64" s="131"/>
      <c r="F64" s="349">
        <f>427121+326550</f>
        <v>753671</v>
      </c>
      <c r="G64" s="132"/>
      <c r="H64" s="338">
        <f t="shared" si="2"/>
        <v>0.11451543257343634</v>
      </c>
      <c r="J64" s="342"/>
      <c r="L64" s="339">
        <f t="shared" si="1"/>
        <v>1.1175430011862397</v>
      </c>
      <c r="M64" s="326">
        <f>+'[8]PRESUPUESTO GENERAL'!Y60</f>
        <v>674400</v>
      </c>
      <c r="N64" s="312" t="str">
        <f>+'[8]PRESUPUESTO GENERAL'!A60</f>
        <v>ELEMENTOS DE ASEO</v>
      </c>
      <c r="O64" s="346"/>
    </row>
    <row r="65" spans="1:15" s="328" customFormat="1" ht="15">
      <c r="A65" s="327"/>
      <c r="B65" s="303" t="str">
        <f t="shared" si="0"/>
        <v>ENVASES Y EMPAQUES</v>
      </c>
      <c r="D65" s="329">
        <v>16696642</v>
      </c>
      <c r="E65" s="330"/>
      <c r="F65" s="331"/>
      <c r="G65" s="332"/>
      <c r="H65" s="338">
        <f t="shared" si="2"/>
        <v>-1</v>
      </c>
      <c r="J65" s="342"/>
      <c r="L65" s="339">
        <f t="shared" si="1"/>
        <v>0</v>
      </c>
      <c r="M65" s="326">
        <f>+'[8]PRESUPUESTO GENERAL'!Y61</f>
        <v>360000</v>
      </c>
      <c r="N65" s="312" t="str">
        <f>+'[8]PRESUPUESTO GENERAL'!A61</f>
        <v>ENVASES Y EMPAQUES</v>
      </c>
      <c r="O65" s="346"/>
    </row>
    <row r="66" spans="1:15" s="345" customFormat="1" ht="15">
      <c r="A66" s="327"/>
      <c r="B66" s="303" t="str">
        <f t="shared" si="0"/>
        <v>INTERNET</v>
      </c>
      <c r="C66" s="330"/>
      <c r="D66" s="329">
        <f>+'[8]IG 2015'!Y57</f>
        <v>245000</v>
      </c>
      <c r="E66" s="330"/>
      <c r="F66" s="352">
        <v>1295658</v>
      </c>
      <c r="G66" s="330"/>
      <c r="H66" s="338">
        <f t="shared" si="2"/>
        <v>4.2884</v>
      </c>
      <c r="I66" s="328"/>
      <c r="J66" s="333"/>
      <c r="K66" s="328"/>
      <c r="L66" s="339">
        <f t="shared" si="1"/>
        <v>1.02342654028436</v>
      </c>
      <c r="M66" s="326">
        <f>+'[8]PRESUPUESTO GENERAL'!Y62</f>
        <v>1266000</v>
      </c>
      <c r="N66" s="312" t="str">
        <f>+'[8]PRESUPUESTO GENERAL'!A62</f>
        <v>INTERNET</v>
      </c>
      <c r="O66" s="340"/>
    </row>
    <row r="67" spans="1:15" s="345" customFormat="1" ht="15">
      <c r="A67" s="341"/>
      <c r="B67" s="303" t="str">
        <f t="shared" si="0"/>
        <v>ESTUDIO ICA</v>
      </c>
      <c r="D67" s="329">
        <f>+'[8]IG 2015'!Y58</f>
        <v>1212287</v>
      </c>
      <c r="E67" s="131"/>
      <c r="F67" s="349">
        <v>24000000</v>
      </c>
      <c r="G67" s="132"/>
      <c r="H67" s="338">
        <f t="shared" si="2"/>
        <v>18.79729222535588</v>
      </c>
      <c r="J67" s="342"/>
      <c r="L67" s="339" t="e">
        <f t="shared" si="1"/>
        <v>#DIV/0!</v>
      </c>
      <c r="M67" s="326">
        <f>+'[8]PRESUPUESTO GENERAL'!Y63</f>
        <v>0</v>
      </c>
      <c r="N67" s="312" t="str">
        <f>+'[8]PRESUPUESTO GENERAL'!A63</f>
        <v>ESTUDIO ICA</v>
      </c>
      <c r="O67" s="346"/>
    </row>
    <row r="68" spans="1:24" s="345" customFormat="1" ht="15">
      <c r="A68" s="341"/>
      <c r="B68" s="303" t="s">
        <v>541</v>
      </c>
      <c r="D68" s="329">
        <v>0</v>
      </c>
      <c r="E68" s="131"/>
      <c r="F68" s="352"/>
      <c r="G68" s="330"/>
      <c r="H68" s="338" t="e">
        <f t="shared" si="2"/>
        <v>#DIV/0!</v>
      </c>
      <c r="J68" s="342"/>
      <c r="L68" s="339" t="e">
        <f t="shared" si="1"/>
        <v>#DIV/0!</v>
      </c>
      <c r="M68" s="326">
        <f>+'[8]PRESUPUESTO GENERAL'!Y64</f>
        <v>0</v>
      </c>
      <c r="N68" s="312" t="str">
        <f>+'[8]PRESUPUESTO GENERAL'!A64</f>
        <v>ARRENDAMIENTOS</v>
      </c>
      <c r="O68" s="346"/>
      <c r="X68" s="345">
        <f>53/2</f>
        <v>26.5</v>
      </c>
    </row>
    <row r="69" spans="1:15" s="345" customFormat="1" ht="15">
      <c r="A69" s="341"/>
      <c r="B69" s="303">
        <f t="shared" si="0"/>
        <v>0</v>
      </c>
      <c r="D69" s="329"/>
      <c r="E69" s="356"/>
      <c r="F69" s="349"/>
      <c r="G69" s="132"/>
      <c r="H69" s="338" t="e">
        <f t="shared" si="2"/>
        <v>#DIV/0!</v>
      </c>
      <c r="J69" s="342"/>
      <c r="L69" s="339" t="e">
        <f t="shared" si="1"/>
        <v>#DIV/0!</v>
      </c>
      <c r="M69" s="326">
        <f>+'[8]PRESUPUESTO GENERAL'!Y65</f>
        <v>0</v>
      </c>
      <c r="N69" s="312">
        <f>+'[8]PRESUPUESTO GENERAL'!A65</f>
        <v>0</v>
      </c>
      <c r="O69" s="346"/>
    </row>
    <row r="70" spans="1:15" s="345" customFormat="1" ht="15">
      <c r="A70" s="341"/>
      <c r="B70" s="303" t="str">
        <f t="shared" si="0"/>
        <v>UTILIDAD BRUTA</v>
      </c>
      <c r="C70" s="356"/>
      <c r="D70" s="352">
        <f>+D27-D29</f>
        <v>414071081</v>
      </c>
      <c r="E70" s="352">
        <f>+E27-E29</f>
        <v>0</v>
      </c>
      <c r="F70" s="352">
        <f>+F27-F29</f>
        <v>454790741.7699996</v>
      </c>
      <c r="G70" s="132"/>
      <c r="H70" s="338">
        <f t="shared" si="2"/>
        <v>0.09833978425071328</v>
      </c>
      <c r="J70" s="342"/>
      <c r="L70" s="339">
        <f t="shared" si="1"/>
        <v>0.8820300653247215</v>
      </c>
      <c r="M70" s="326">
        <f>+'[8]PRESUPUESTO GENERAL'!Y66</f>
        <v>515618185.42156756</v>
      </c>
      <c r="N70" s="312" t="str">
        <f>+'[8]PRESUPUESTO GENERAL'!A66</f>
        <v>UTILIDAD BRUTA</v>
      </c>
      <c r="O70" s="346"/>
    </row>
    <row r="71" spans="1:15" s="328" customFormat="1" ht="15">
      <c r="A71" s="341"/>
      <c r="B71" s="303">
        <f aca="true" t="shared" si="3" ref="B71:B133">+N71</f>
        <v>0</v>
      </c>
      <c r="C71" s="356"/>
      <c r="D71" s="329"/>
      <c r="E71" s="330"/>
      <c r="F71" s="349"/>
      <c r="G71" s="332"/>
      <c r="H71" s="338" t="e">
        <f t="shared" si="2"/>
        <v>#DIV/0!</v>
      </c>
      <c r="J71" s="342"/>
      <c r="L71" s="339" t="e">
        <f t="shared" si="1"/>
        <v>#DIV/0!</v>
      </c>
      <c r="M71" s="326">
        <f>+'[8]PRESUPUESTO GENERAL'!Y67</f>
        <v>0</v>
      </c>
      <c r="N71" s="312">
        <f>+'[8]PRESUPUESTO GENERAL'!A67</f>
        <v>0</v>
      </c>
      <c r="O71" s="346"/>
    </row>
    <row r="72" spans="1:15" s="345" customFormat="1" ht="15">
      <c r="A72" s="327"/>
      <c r="B72" s="303" t="str">
        <f t="shared" si="3"/>
        <v>OTROS  INGRESOS</v>
      </c>
      <c r="C72" s="330"/>
      <c r="D72" s="329">
        <f>+'[8]IG 2015'!Y64</f>
        <v>8828650</v>
      </c>
      <c r="E72" s="330"/>
      <c r="F72" s="357">
        <f>25082054+431035</f>
        <v>25513089</v>
      </c>
      <c r="G72" s="330"/>
      <c r="H72" s="338">
        <f t="shared" si="2"/>
        <v>1.8898063690371687</v>
      </c>
      <c r="I72" s="328"/>
      <c r="J72" s="333"/>
      <c r="K72" s="328"/>
      <c r="L72" s="339">
        <f aca="true" t="shared" si="4" ref="L72:L135">+F72/M72</f>
        <v>4.231026368159204</v>
      </c>
      <c r="M72" s="326">
        <f>+'[8]PRESUPUESTO GENERAL'!Y68</f>
        <v>6030000</v>
      </c>
      <c r="N72" s="312" t="str">
        <f>+'[8]PRESUPUESTO GENERAL'!A68</f>
        <v>OTROS  INGRESOS</v>
      </c>
      <c r="O72" s="340"/>
    </row>
    <row r="73" spans="1:15" s="328" customFormat="1" ht="15">
      <c r="A73" s="341"/>
      <c r="B73" s="303" t="str">
        <f t="shared" si="3"/>
        <v>OTROS GASTOS</v>
      </c>
      <c r="C73" s="345"/>
      <c r="D73" s="329">
        <f>+D74</f>
        <v>17464360</v>
      </c>
      <c r="E73" s="330"/>
      <c r="F73" s="331">
        <f>+F74</f>
        <v>27852391</v>
      </c>
      <c r="G73" s="332"/>
      <c r="H73" s="338">
        <f t="shared" si="2"/>
        <v>0.5948131508970269</v>
      </c>
      <c r="J73" s="342"/>
      <c r="L73" s="339" t="e">
        <f t="shared" si="4"/>
        <v>#DIV/0!</v>
      </c>
      <c r="M73" s="326">
        <f>+'[8]PRESUPUESTO GENERAL'!Y69</f>
        <v>0</v>
      </c>
      <c r="N73" s="312" t="str">
        <f>+'[8]PRESUPUESTO GENERAL'!A69</f>
        <v>OTROS GASTOS</v>
      </c>
      <c r="O73" s="346"/>
    </row>
    <row r="74" spans="1:15" s="328" customFormat="1" ht="15">
      <c r="A74" s="327"/>
      <c r="B74" s="303" t="str">
        <f t="shared" si="3"/>
        <v>GASTOS BANCARIOS</v>
      </c>
      <c r="D74" s="329">
        <f>+'[8]IG 2015'!Y67</f>
        <v>17464360</v>
      </c>
      <c r="E74" s="330"/>
      <c r="F74" s="349">
        <f>11082115+1328606+15441670</f>
        <v>27852391</v>
      </c>
      <c r="G74" s="332"/>
      <c r="H74" s="338">
        <f aca="true" t="shared" si="5" ref="H74:H138">+(F74-D74)/D74</f>
        <v>0.5948131508970269</v>
      </c>
      <c r="J74" s="342"/>
      <c r="L74" s="339">
        <f t="shared" si="4"/>
        <v>1.554262890625</v>
      </c>
      <c r="M74" s="326">
        <f>+'[8]PRESUPUESTO GENERAL'!Y70</f>
        <v>17920000</v>
      </c>
      <c r="N74" s="312" t="str">
        <f>+'[8]PRESUPUESTO GENERAL'!A70</f>
        <v>GASTOS BANCARIOS</v>
      </c>
      <c r="O74" s="346"/>
    </row>
    <row r="75" spans="1:15" s="328" customFormat="1" ht="15">
      <c r="A75" s="327"/>
      <c r="B75" s="303">
        <f t="shared" si="3"/>
        <v>0</v>
      </c>
      <c r="D75" s="329"/>
      <c r="E75" s="131"/>
      <c r="F75" s="331"/>
      <c r="G75" s="332"/>
      <c r="H75" s="338" t="e">
        <f t="shared" si="5"/>
        <v>#DIV/0!</v>
      </c>
      <c r="J75" s="342"/>
      <c r="L75" s="339" t="e">
        <f t="shared" si="4"/>
        <v>#DIV/0!</v>
      </c>
      <c r="M75" s="326">
        <f>+'[8]PRESUPUESTO GENERAL'!Y71</f>
        <v>0</v>
      </c>
      <c r="N75" s="312">
        <f>+'[8]PRESUPUESTO GENERAL'!A71</f>
        <v>0</v>
      </c>
      <c r="O75" s="346"/>
    </row>
    <row r="76" spans="1:15" s="328" customFormat="1" ht="15">
      <c r="A76" s="327"/>
      <c r="B76" s="303" t="str">
        <f t="shared" si="3"/>
        <v>UTILIDAD NETA</v>
      </c>
      <c r="C76" s="131"/>
      <c r="D76" s="352">
        <f>+D70+D72-D73</f>
        <v>405435371</v>
      </c>
      <c r="E76" s="352">
        <f>+E70+E72-E73</f>
        <v>0</v>
      </c>
      <c r="F76" s="352">
        <f>+F70+F72-F73</f>
        <v>452451439.7699996</v>
      </c>
      <c r="G76" s="332"/>
      <c r="H76" s="338">
        <f t="shared" si="5"/>
        <v>0.11596439810871761</v>
      </c>
      <c r="J76" s="342"/>
      <c r="L76" s="339">
        <f t="shared" si="4"/>
        <v>0.8982055260444585</v>
      </c>
      <c r="M76" s="326">
        <f>+'[8]PRESUPUESTO GENERAL'!Y72</f>
        <v>503728185.42156756</v>
      </c>
      <c r="N76" s="312" t="str">
        <f>+'[8]PRESUPUESTO GENERAL'!A72</f>
        <v>UTILIDAD NETA</v>
      </c>
      <c r="O76" s="346"/>
    </row>
    <row r="77" spans="1:15" s="328" customFormat="1" ht="15">
      <c r="A77" s="327"/>
      <c r="B77" s="303">
        <f t="shared" si="3"/>
        <v>0</v>
      </c>
      <c r="D77" s="329"/>
      <c r="E77" s="330"/>
      <c r="F77" s="331"/>
      <c r="G77" s="332"/>
      <c r="H77" s="338"/>
      <c r="J77" s="342"/>
      <c r="L77" s="339"/>
      <c r="M77" s="326">
        <f>+'[8]PRESUPUESTO GENERAL'!Y73</f>
        <v>0</v>
      </c>
      <c r="N77" s="312">
        <f>+'[8]PRESUPUESTO GENERAL'!A73</f>
        <v>0</v>
      </c>
      <c r="O77" s="346"/>
    </row>
    <row r="78" spans="1:15" s="345" customFormat="1" ht="15">
      <c r="A78" s="327"/>
      <c r="B78" s="303" t="str">
        <f t="shared" si="3"/>
        <v>CAFÉ</v>
      </c>
      <c r="C78" s="330"/>
      <c r="D78" s="329"/>
      <c r="E78" s="330"/>
      <c r="F78" s="358"/>
      <c r="G78" s="330"/>
      <c r="H78" s="338"/>
      <c r="I78" s="328"/>
      <c r="J78" s="333"/>
      <c r="K78" s="328"/>
      <c r="L78" s="339"/>
      <c r="M78" s="326">
        <f>+'[8]PRESUPUESTO GENERAL'!Y74</f>
        <v>0</v>
      </c>
      <c r="N78" s="312" t="str">
        <f>+'[8]PRESUPUESTO GENERAL'!A74</f>
        <v>CAFÉ</v>
      </c>
      <c r="O78" s="340"/>
    </row>
    <row r="79" spans="1:15" s="345" customFormat="1" ht="15">
      <c r="A79" s="341"/>
      <c r="B79" s="303">
        <f t="shared" si="3"/>
        <v>0</v>
      </c>
      <c r="D79" s="329"/>
      <c r="E79" s="343"/>
      <c r="F79" s="349"/>
      <c r="G79" s="132"/>
      <c r="H79" s="338"/>
      <c r="J79" s="342"/>
      <c r="L79" s="339"/>
      <c r="M79" s="326">
        <f>+'[8]PRESUPUESTO GENERAL'!Y75</f>
        <v>0</v>
      </c>
      <c r="N79" s="312">
        <f>+'[8]PRESUPUESTO GENERAL'!A75</f>
        <v>0</v>
      </c>
      <c r="O79" s="346"/>
    </row>
    <row r="80" spans="1:15" s="345" customFormat="1" ht="15">
      <c r="A80" s="341"/>
      <c r="B80" s="303">
        <f t="shared" si="3"/>
        <v>0</v>
      </c>
      <c r="D80" s="329"/>
      <c r="E80" s="343"/>
      <c r="F80" s="349"/>
      <c r="G80" s="132"/>
      <c r="H80" s="338"/>
      <c r="J80" s="342"/>
      <c r="L80" s="339"/>
      <c r="M80" s="326">
        <f>+'[8]PRESUPUESTO GENERAL'!Y76</f>
        <v>0</v>
      </c>
      <c r="N80" s="312">
        <f>+'[8]PRESUPUESTO GENERAL'!A76</f>
        <v>0</v>
      </c>
      <c r="O80" s="346"/>
    </row>
    <row r="81" spans="1:15" s="345" customFormat="1" ht="15">
      <c r="A81" s="341"/>
      <c r="B81" s="303">
        <f t="shared" si="3"/>
        <v>0</v>
      </c>
      <c r="D81" s="329"/>
      <c r="E81" s="131"/>
      <c r="F81" s="351"/>
      <c r="G81" s="347"/>
      <c r="H81" s="338"/>
      <c r="J81" s="342"/>
      <c r="L81" s="339"/>
      <c r="M81" s="326">
        <f>+'[8]PRESUPUESTO GENERAL'!Y77</f>
        <v>0</v>
      </c>
      <c r="N81" s="312">
        <f>+'[8]PRESUPUESTO GENERAL'!A77</f>
        <v>0</v>
      </c>
      <c r="O81" s="346"/>
    </row>
    <row r="82" spans="1:15" s="345" customFormat="1" ht="15">
      <c r="A82" s="341"/>
      <c r="B82" s="303" t="str">
        <f t="shared" si="3"/>
        <v>VENTAS </v>
      </c>
      <c r="D82" s="349">
        <f>SUM(D83:D88)</f>
        <v>12133870992</v>
      </c>
      <c r="E82" s="349">
        <f>SUM(E83:E88)</f>
        <v>0</v>
      </c>
      <c r="F82" s="349">
        <f>SUM(F83:F88)</f>
        <v>11561960146</v>
      </c>
      <c r="G82" s="132"/>
      <c r="H82" s="338">
        <f t="shared" si="5"/>
        <v>-0.04713342068471532</v>
      </c>
      <c r="J82" s="342"/>
      <c r="L82" s="339">
        <f t="shared" si="4"/>
        <v>0.8327002820329998</v>
      </c>
      <c r="M82" s="326">
        <f>+'[8]PRESUPUESTO GENERAL'!Y78</f>
        <v>13884900000</v>
      </c>
      <c r="N82" s="312" t="str">
        <f>+'[8]PRESUPUESTO GENERAL'!A78</f>
        <v>VENTAS </v>
      </c>
      <c r="O82" s="346"/>
    </row>
    <row r="83" spans="1:15" s="345" customFormat="1" ht="15">
      <c r="A83" s="341"/>
      <c r="B83" s="303" t="str">
        <f t="shared" si="3"/>
        <v>FRESNO</v>
      </c>
      <c r="D83" s="329">
        <f>+'[8]IG 2015'!Y75</f>
        <v>1991962589</v>
      </c>
      <c r="E83" s="131"/>
      <c r="F83" s="349">
        <v>2220306423</v>
      </c>
      <c r="G83" s="132"/>
      <c r="H83" s="338">
        <f t="shared" si="5"/>
        <v>0.11463259162644847</v>
      </c>
      <c r="J83" s="342"/>
      <c r="L83" s="339">
        <f t="shared" si="4"/>
        <v>0.6460772004988481</v>
      </c>
      <c r="M83" s="326">
        <f>+'[8]PRESUPUESTO GENERAL'!Y79</f>
        <v>3436596154.895515</v>
      </c>
      <c r="N83" s="312" t="str">
        <f>+'[8]PRESUPUESTO GENERAL'!A79</f>
        <v>FRESNO</v>
      </c>
      <c r="O83" s="346"/>
    </row>
    <row r="84" spans="1:15" s="345" customFormat="1" ht="15">
      <c r="A84" s="341"/>
      <c r="B84" s="303" t="str">
        <f t="shared" si="3"/>
        <v>FRIAS</v>
      </c>
      <c r="D84" s="329">
        <f>+'[8]IG 2015'!Y76</f>
        <v>1519133143</v>
      </c>
      <c r="E84" s="131"/>
      <c r="F84" s="349">
        <v>621622649</v>
      </c>
      <c r="G84" s="132"/>
      <c r="H84" s="338">
        <f t="shared" si="5"/>
        <v>-0.5908043663819926</v>
      </c>
      <c r="J84" s="342"/>
      <c r="L84" s="339">
        <f t="shared" si="4"/>
        <v>0.3047063363166913</v>
      </c>
      <c r="M84" s="326">
        <f>+'[8]PRESUPUESTO GENERAL'!Y80</f>
        <v>2040071291.3102245</v>
      </c>
      <c r="N84" s="312" t="str">
        <f>+'[8]PRESUPUESTO GENERAL'!A80</f>
        <v>FRIAS</v>
      </c>
      <c r="O84" s="346"/>
    </row>
    <row r="85" spans="1:15" s="328" customFormat="1" ht="15">
      <c r="A85" s="341"/>
      <c r="B85" s="303" t="str">
        <f t="shared" si="3"/>
        <v>HERVEO</v>
      </c>
      <c r="C85" s="345"/>
      <c r="D85" s="329">
        <f>+'[8]IG 2015'!Y77</f>
        <v>3592848967</v>
      </c>
      <c r="E85" s="330"/>
      <c r="F85" s="359">
        <v>3730706238</v>
      </c>
      <c r="G85" s="332"/>
      <c r="H85" s="338">
        <f t="shared" si="5"/>
        <v>0.038369904292166704</v>
      </c>
      <c r="J85" s="342"/>
      <c r="L85" s="339">
        <f t="shared" si="4"/>
        <v>1.143948486291629</v>
      </c>
      <c r="M85" s="326">
        <f>+'[8]PRESUPUESTO GENERAL'!Y81</f>
        <v>3261253703.9092894</v>
      </c>
      <c r="N85" s="312" t="str">
        <f>+'[8]PRESUPUESTO GENERAL'!A81</f>
        <v>HERVEO</v>
      </c>
      <c r="O85" s="346"/>
    </row>
    <row r="86" spans="1:15" s="345" customFormat="1" ht="15">
      <c r="A86" s="327"/>
      <c r="B86" s="303" t="str">
        <f t="shared" si="3"/>
        <v>PADUA</v>
      </c>
      <c r="C86" s="330"/>
      <c r="D86" s="329">
        <f>+'[8]IG 2015'!Y78</f>
        <v>1155981312</v>
      </c>
      <c r="E86" s="330"/>
      <c r="F86" s="359">
        <v>1125398037</v>
      </c>
      <c r="G86" s="330"/>
      <c r="H86" s="338">
        <f t="shared" si="5"/>
        <v>-0.026456547941148722</v>
      </c>
      <c r="I86" s="328"/>
      <c r="J86" s="333"/>
      <c r="K86" s="328"/>
      <c r="L86" s="339">
        <f t="shared" si="4"/>
        <v>0.8081925331727091</v>
      </c>
      <c r="M86" s="326">
        <f>+'[8]PRESUPUESTO GENERAL'!Y82</f>
        <v>1392487545.7362146</v>
      </c>
      <c r="N86" s="312" t="str">
        <f>+'[8]PRESUPUESTO GENERAL'!A82</f>
        <v>PADUA</v>
      </c>
      <c r="O86" s="340"/>
    </row>
    <row r="87" spans="1:15" s="345" customFormat="1" ht="15">
      <c r="A87" s="341"/>
      <c r="B87" s="303" t="str">
        <f t="shared" si="3"/>
        <v>PALOCABILDO</v>
      </c>
      <c r="D87" s="329">
        <f>+'[8]IG 2015'!Y79</f>
        <v>3873944981</v>
      </c>
      <c r="E87" s="343"/>
      <c r="F87" s="359">
        <v>3842326699</v>
      </c>
      <c r="G87" s="132"/>
      <c r="H87" s="338">
        <f t="shared" si="5"/>
        <v>-0.008161778795278145</v>
      </c>
      <c r="J87" s="342"/>
      <c r="L87" s="339">
        <f t="shared" si="4"/>
        <v>1.0233947525072657</v>
      </c>
      <c r="M87" s="326">
        <f>+'[8]PRESUPUESTO GENERAL'!Y83</f>
        <v>3754491304.1487584</v>
      </c>
      <c r="N87" s="312" t="str">
        <f>+'[8]PRESUPUESTO GENERAL'!A83</f>
        <v>PALOCABILDO</v>
      </c>
      <c r="O87" s="346"/>
    </row>
    <row r="88" spans="1:15" s="345" customFormat="1" ht="15">
      <c r="A88" s="341"/>
      <c r="B88" s="303" t="s">
        <v>540</v>
      </c>
      <c r="D88" s="329">
        <f>+'[8]IG 2015'!Y80</f>
        <v>0</v>
      </c>
      <c r="E88" s="343"/>
      <c r="F88" s="351">
        <v>21600100</v>
      </c>
      <c r="G88" s="347"/>
      <c r="H88" s="338" t="e">
        <f t="shared" si="5"/>
        <v>#DIV/0!</v>
      </c>
      <c r="J88" s="342"/>
      <c r="L88" s="339" t="e">
        <f t="shared" si="4"/>
        <v>#DIV/0!</v>
      </c>
      <c r="M88" s="326">
        <f>+'[8]PRESUPUESTO GENERAL'!Y84</f>
        <v>0</v>
      </c>
      <c r="N88" s="312" t="str">
        <f>+'[8]PRESUPUESTO GENERAL'!A84</f>
        <v>EL TABLAZO</v>
      </c>
      <c r="O88" s="346"/>
    </row>
    <row r="89" spans="1:15" s="345" customFormat="1" ht="15">
      <c r="A89" s="341"/>
      <c r="B89" s="303">
        <f t="shared" si="3"/>
        <v>0</v>
      </c>
      <c r="D89" s="329">
        <f>+'[8]IG 2015'!Y81</f>
        <v>0</v>
      </c>
      <c r="E89" s="131"/>
      <c r="F89" s="351"/>
      <c r="G89" s="347"/>
      <c r="H89" s="338"/>
      <c r="J89" s="342"/>
      <c r="L89" s="339"/>
      <c r="M89" s="326">
        <f>+'[8]PRESUPUESTO GENERAL'!Y85</f>
        <v>0</v>
      </c>
      <c r="N89" s="312">
        <f>+'[8]PRESUPUESTO GENERAL'!A85</f>
        <v>0</v>
      </c>
      <c r="O89" s="346"/>
    </row>
    <row r="90" spans="1:15" s="345" customFormat="1" ht="15">
      <c r="A90" s="341"/>
      <c r="B90" s="303" t="str">
        <f t="shared" si="3"/>
        <v>COSTO DE VENTAS</v>
      </c>
      <c r="D90" s="349">
        <f>SUM(D91:D96)+D98+D99+D100+D101</f>
        <v>11895204418.69</v>
      </c>
      <c r="E90" s="349">
        <f>SUM(E91:E96)+E98+E99+E100+E101</f>
        <v>0</v>
      </c>
      <c r="F90" s="349">
        <f>SUM(F91:F96)+F98+F99+F100+F101</f>
        <v>11433745116</v>
      </c>
      <c r="G90" s="132"/>
      <c r="H90" s="338">
        <f t="shared" si="5"/>
        <v>-0.03879372614773612</v>
      </c>
      <c r="J90" s="342"/>
      <c r="L90" s="339">
        <f t="shared" si="4"/>
        <v>0.8371253397108611</v>
      </c>
      <c r="M90" s="326">
        <f>+'[8]PRESUPUESTO GENERAL'!Y86</f>
        <v>13658343110.183664</v>
      </c>
      <c r="N90" s="312" t="str">
        <f>+'[8]PRESUPUESTO GENERAL'!A86</f>
        <v>COSTO DE VENTAS</v>
      </c>
      <c r="O90" s="346"/>
    </row>
    <row r="91" spans="1:15" s="345" customFormat="1" ht="15">
      <c r="A91" s="341"/>
      <c r="B91" s="303" t="str">
        <f t="shared" si="3"/>
        <v>FRESNO</v>
      </c>
      <c r="D91" s="329">
        <f>+'[8]IG 2015'!Y83+11487172</f>
        <v>1934424598.69</v>
      </c>
      <c r="E91" s="131"/>
      <c r="F91" s="349">
        <v>2163202745</v>
      </c>
      <c r="G91" s="132"/>
      <c r="H91" s="338">
        <f t="shared" si="5"/>
        <v>0.11826676855997871</v>
      </c>
      <c r="J91" s="342"/>
      <c r="L91" s="339">
        <f t="shared" si="4"/>
        <v>0.6489287138099054</v>
      </c>
      <c r="M91" s="326">
        <f>+'[8]PRESUPUESTO GENERAL'!Y87</f>
        <v>3333498270.248649</v>
      </c>
      <c r="N91" s="312" t="str">
        <f>+'[8]PRESUPUESTO GENERAL'!A87</f>
        <v>FRESNO</v>
      </c>
      <c r="O91" s="346"/>
    </row>
    <row r="92" spans="1:15" s="345" customFormat="1" ht="15">
      <c r="A92" s="341"/>
      <c r="B92" s="303" t="str">
        <f t="shared" si="3"/>
        <v>FRIAS</v>
      </c>
      <c r="D92" s="329">
        <f>+'[8]IG 2015'!Y84</f>
        <v>1491111894</v>
      </c>
      <c r="E92" s="131"/>
      <c r="F92" s="349">
        <v>604469171</v>
      </c>
      <c r="G92" s="132"/>
      <c r="H92" s="338">
        <f t="shared" si="5"/>
        <v>-0.5946185035259333</v>
      </c>
      <c r="J92" s="342"/>
      <c r="L92" s="339">
        <f t="shared" si="4"/>
        <v>0.30546192011466883</v>
      </c>
      <c r="M92" s="326">
        <f>+'[8]PRESUPUESTO GENERAL'!Y88</f>
        <v>1978869152.5709176</v>
      </c>
      <c r="N92" s="312" t="str">
        <f>+'[8]PRESUPUESTO GENERAL'!A88</f>
        <v>FRIAS</v>
      </c>
      <c r="O92" s="346"/>
    </row>
    <row r="93" spans="1:15" s="328" customFormat="1" ht="15">
      <c r="A93" s="341"/>
      <c r="B93" s="303" t="str">
        <f t="shared" si="3"/>
        <v>HERVEO</v>
      </c>
      <c r="C93" s="345"/>
      <c r="D93" s="329">
        <f>+'[8]IG 2015'!Y85</f>
        <v>3451647828</v>
      </c>
      <c r="E93" s="330"/>
      <c r="F93" s="359">
        <v>3695290173</v>
      </c>
      <c r="G93" s="332"/>
      <c r="H93" s="338">
        <f t="shared" si="5"/>
        <v>0.07058725488259748</v>
      </c>
      <c r="J93" s="342"/>
      <c r="L93" s="339">
        <f t="shared" si="4"/>
        <v>1.1681328236964748</v>
      </c>
      <c r="M93" s="326">
        <f>+'[8]PRESUPUESTO GENERAL'!Y89</f>
        <v>3163416092.79201</v>
      </c>
      <c r="N93" s="312" t="str">
        <f>+'[8]PRESUPUESTO GENERAL'!A89</f>
        <v>HERVEO</v>
      </c>
      <c r="O93" s="346"/>
    </row>
    <row r="94" spans="1:15" s="345" customFormat="1" ht="15">
      <c r="A94" s="327"/>
      <c r="B94" s="303" t="str">
        <f t="shared" si="3"/>
        <v>PADUA</v>
      </c>
      <c r="C94" s="330"/>
      <c r="D94" s="329">
        <f>+'[8]IG 2015'!Y86</f>
        <v>1118013308</v>
      </c>
      <c r="E94" s="330"/>
      <c r="F94" s="359">
        <v>1107822084</v>
      </c>
      <c r="G94" s="330"/>
      <c r="H94" s="338">
        <f t="shared" si="5"/>
        <v>-0.009115476468013563</v>
      </c>
      <c r="I94" s="328"/>
      <c r="J94" s="333"/>
      <c r="K94" s="328"/>
      <c r="L94" s="339">
        <f t="shared" si="4"/>
        <v>0.8201758257569097</v>
      </c>
      <c r="M94" s="326">
        <f>+'[8]PRESUPUESTO GENERAL'!Y90</f>
        <v>1350712919.364128</v>
      </c>
      <c r="N94" s="312" t="str">
        <f>+'[8]PRESUPUESTO GENERAL'!A90</f>
        <v>PADUA</v>
      </c>
      <c r="O94" s="340"/>
    </row>
    <row r="95" spans="1:15" s="328" customFormat="1" ht="15">
      <c r="A95" s="341"/>
      <c r="B95" s="303" t="str">
        <f t="shared" si="3"/>
        <v>PALOCABILDO</v>
      </c>
      <c r="C95" s="345"/>
      <c r="D95" s="329">
        <f>+'[8]IG 2015'!Y87</f>
        <v>3731375000</v>
      </c>
      <c r="E95" s="330"/>
      <c r="F95" s="359">
        <f>3680597508-1184176</f>
        <v>3679413332</v>
      </c>
      <c r="G95" s="332"/>
      <c r="H95" s="338">
        <f t="shared" si="5"/>
        <v>-0.013925608656326421</v>
      </c>
      <c r="J95" s="342"/>
      <c r="L95" s="339">
        <f t="shared" si="4"/>
        <v>1.0103125332656955</v>
      </c>
      <c r="M95" s="326">
        <f>+'[8]PRESUPUESTO GENERAL'!Y91</f>
        <v>3641856565.024296</v>
      </c>
      <c r="N95" s="312" t="str">
        <f>+'[8]PRESUPUESTO GENERAL'!A91</f>
        <v>PALOCABILDO</v>
      </c>
      <c r="O95" s="346"/>
    </row>
    <row r="96" spans="1:15" s="345" customFormat="1" ht="15">
      <c r="A96" s="327"/>
      <c r="B96" s="303" t="s">
        <v>540</v>
      </c>
      <c r="C96" s="330"/>
      <c r="D96" s="329">
        <f>+'[8]IG 2015'!Y88</f>
        <v>0</v>
      </c>
      <c r="E96" s="330"/>
      <c r="F96" s="359">
        <v>19958611</v>
      </c>
      <c r="G96" s="330"/>
      <c r="H96" s="338" t="e">
        <f t="shared" si="5"/>
        <v>#DIV/0!</v>
      </c>
      <c r="I96" s="328"/>
      <c r="J96" s="333"/>
      <c r="K96" s="328"/>
      <c r="L96" s="339" t="e">
        <f t="shared" si="4"/>
        <v>#DIV/0!</v>
      </c>
      <c r="M96" s="326">
        <f>+'[8]PRESUPUESTO GENERAL'!Y92</f>
        <v>0</v>
      </c>
      <c r="N96" s="312" t="str">
        <f>+'[8]PRESUPUESTO GENERAL'!A92</f>
        <v>EL TABLAZO</v>
      </c>
      <c r="O96" s="340"/>
    </row>
    <row r="97" spans="1:15" s="345" customFormat="1" ht="15">
      <c r="A97" s="341"/>
      <c r="B97" s="303">
        <f t="shared" si="3"/>
        <v>0</v>
      </c>
      <c r="D97" s="329"/>
      <c r="E97" s="131"/>
      <c r="F97" s="349"/>
      <c r="G97" s="132"/>
      <c r="H97" s="338"/>
      <c r="J97" s="342"/>
      <c r="L97" s="339"/>
      <c r="M97" s="326">
        <f>+'[8]PRESUPUESTO GENERAL'!Y93</f>
        <v>0</v>
      </c>
      <c r="N97" s="312">
        <f>+'[8]PRESUPUESTO GENERAL'!A93</f>
        <v>0</v>
      </c>
      <c r="O97" s="346"/>
    </row>
    <row r="98" spans="1:15" s="345" customFormat="1" ht="15">
      <c r="A98" s="341"/>
      <c r="B98" s="303" t="str">
        <f t="shared" si="3"/>
        <v>GAS</v>
      </c>
      <c r="D98" s="329">
        <f>+'[8]IG 2015'!Y118</f>
        <v>9155500</v>
      </c>
      <c r="E98" s="131"/>
      <c r="F98" s="359">
        <v>7060918</v>
      </c>
      <c r="G98" s="132"/>
      <c r="H98" s="338">
        <f t="shared" si="5"/>
        <v>-0.22877854841352194</v>
      </c>
      <c r="J98" s="342"/>
      <c r="L98" s="339">
        <f t="shared" si="4"/>
        <v>0.7373556808688387</v>
      </c>
      <c r="M98" s="326">
        <f>+'[8]PRESUPUESTO GENERAL'!Y94</f>
        <v>9576000</v>
      </c>
      <c r="N98" s="312" t="str">
        <f>+'[8]PRESUPUESTO GENERAL'!A94</f>
        <v>GAS</v>
      </c>
      <c r="O98" s="346"/>
    </row>
    <row r="99" spans="1:15" s="345" customFormat="1" ht="15">
      <c r="A99" s="341"/>
      <c r="B99" s="303" t="s">
        <v>542</v>
      </c>
      <c r="D99" s="329"/>
      <c r="E99" s="131"/>
      <c r="F99" s="349">
        <f>5700960+8485635</f>
        <v>14186595</v>
      </c>
      <c r="G99" s="132"/>
      <c r="H99" s="338"/>
      <c r="J99" s="342"/>
      <c r="L99" s="339"/>
      <c r="M99" s="326">
        <f>+'[8]PRESUPUESTO GENERAL'!Y95</f>
        <v>0</v>
      </c>
      <c r="N99" s="312" t="str">
        <f>+'[8]PRESUPUESTO GENERAL'!A95</f>
        <v>ALMACENAMIENTO</v>
      </c>
      <c r="O99" s="346"/>
    </row>
    <row r="100" spans="1:15" s="345" customFormat="1" ht="15">
      <c r="A100" s="341"/>
      <c r="B100" s="303" t="str">
        <f t="shared" si="3"/>
        <v>CARGUE Y DESCARGUE</v>
      </c>
      <c r="D100" s="329">
        <f>+'[8]IG 2015'!Y120</f>
        <v>37314226</v>
      </c>
      <c r="E100" s="131"/>
      <c r="F100" s="349">
        <v>37983571</v>
      </c>
      <c r="G100" s="132"/>
      <c r="H100" s="338">
        <f t="shared" si="5"/>
        <v>0.01793806469414641</v>
      </c>
      <c r="J100" s="342"/>
      <c r="L100" s="339">
        <f t="shared" si="4"/>
        <v>1.0378024863387978</v>
      </c>
      <c r="M100" s="326">
        <f>+'[8]PRESUPUESTO GENERAL'!Y96</f>
        <v>36600000</v>
      </c>
      <c r="N100" s="312" t="str">
        <f>+'[8]PRESUPUESTO GENERAL'!A96</f>
        <v>CARGUE Y DESCARGUE</v>
      </c>
      <c r="O100" s="346"/>
    </row>
    <row r="101" spans="1:15" s="345" customFormat="1" ht="15">
      <c r="A101" s="341"/>
      <c r="B101" s="303" t="str">
        <f t="shared" si="3"/>
        <v>FLETES Y  TRANSPORTES</v>
      </c>
      <c r="D101" s="329">
        <f>+'[8]IG 2015'!Y117</f>
        <v>122162064</v>
      </c>
      <c r="E101" s="131"/>
      <c r="F101" s="349">
        <f>104357916</f>
        <v>104357916</v>
      </c>
      <c r="G101" s="132"/>
      <c r="H101" s="338">
        <f t="shared" si="5"/>
        <v>-0.14574203657855683</v>
      </c>
      <c r="J101" s="342"/>
      <c r="L101" s="339">
        <f t="shared" si="4"/>
        <v>0.7256444855565642</v>
      </c>
      <c r="M101" s="326">
        <f>+'[8]PRESUPUESTO GENERAL'!Y97</f>
        <v>143814110.1836641</v>
      </c>
      <c r="N101" s="312" t="str">
        <f>+'[8]PRESUPUESTO GENERAL'!A97</f>
        <v>FLETES Y  TRANSPORTES</v>
      </c>
      <c r="O101" s="346"/>
    </row>
    <row r="102" spans="1:15" s="345" customFormat="1" ht="15">
      <c r="A102" s="341"/>
      <c r="B102" s="303">
        <f t="shared" si="3"/>
        <v>0</v>
      </c>
      <c r="D102" s="329"/>
      <c r="E102" s="131"/>
      <c r="F102" s="349"/>
      <c r="G102" s="132"/>
      <c r="H102" s="338"/>
      <c r="J102" s="342"/>
      <c r="L102" s="339"/>
      <c r="M102" s="326">
        <f>+'[8]PRESUPUESTO GENERAL'!Y98</f>
        <v>0</v>
      </c>
      <c r="N102" s="312">
        <f>+'[8]PRESUPUESTO GENERAL'!A98</f>
        <v>0</v>
      </c>
      <c r="O102" s="346"/>
    </row>
    <row r="103" spans="1:15" s="345" customFormat="1" ht="15">
      <c r="A103" s="341"/>
      <c r="B103" s="303" t="str">
        <f t="shared" si="3"/>
        <v>UTILIDAD OPERACIONAL</v>
      </c>
      <c r="D103" s="349">
        <f>+D82-D90</f>
        <v>238666573.30999947</v>
      </c>
      <c r="E103" s="349">
        <f>+E82-E90</f>
        <v>0</v>
      </c>
      <c r="F103" s="349">
        <f>+F82-F90</f>
        <v>128215030</v>
      </c>
      <c r="G103" s="132"/>
      <c r="H103" s="338">
        <f t="shared" si="5"/>
        <v>-0.4627859770146197</v>
      </c>
      <c r="J103" s="342"/>
      <c r="L103" s="339">
        <f t="shared" si="4"/>
        <v>0.5659286288046278</v>
      </c>
      <c r="M103" s="326">
        <f>+'[8]PRESUPUESTO GENERAL'!Y99</f>
        <v>226556889.81633568</v>
      </c>
      <c r="N103" s="312" t="str">
        <f>+'[8]PRESUPUESTO GENERAL'!A99</f>
        <v>UTILIDAD OPERACIONAL</v>
      </c>
      <c r="O103" s="346"/>
    </row>
    <row r="104" spans="1:15" s="345" customFormat="1" ht="15">
      <c r="A104" s="341"/>
      <c r="B104" s="303">
        <f t="shared" si="3"/>
        <v>0</v>
      </c>
      <c r="D104" s="329"/>
      <c r="E104" s="131"/>
      <c r="F104" s="349"/>
      <c r="G104" s="132"/>
      <c r="H104" s="338"/>
      <c r="J104" s="342"/>
      <c r="L104" s="339"/>
      <c r="M104" s="326">
        <f>+'[8]PRESUPUESTO GENERAL'!Y100</f>
        <v>0</v>
      </c>
      <c r="N104" s="312">
        <f>+'[8]PRESUPUESTO GENERAL'!A100</f>
        <v>0</v>
      </c>
      <c r="O104" s="346"/>
    </row>
    <row r="105" spans="1:15" s="345" customFormat="1" ht="15">
      <c r="A105" s="341"/>
      <c r="B105" s="303" t="str">
        <f t="shared" si="3"/>
        <v>GASTOS OPERACIONALES</v>
      </c>
      <c r="D105" s="349">
        <f>SUM(D107:D144)</f>
        <v>204581573</v>
      </c>
      <c r="E105" s="349">
        <f>SUM(E107:E144)</f>
        <v>0</v>
      </c>
      <c r="F105" s="349">
        <f>SUM(F107:F144)</f>
        <v>201155413.85</v>
      </c>
      <c r="G105" s="132"/>
      <c r="H105" s="338">
        <f t="shared" si="5"/>
        <v>-0.01674715420239733</v>
      </c>
      <c r="J105" s="342"/>
      <c r="L105" s="339">
        <f t="shared" si="4"/>
        <v>1.036131842922047</v>
      </c>
      <c r="M105" s="326">
        <f>+'[8]PRESUPUESTO GENERAL'!Y101</f>
        <v>194140750.73951167</v>
      </c>
      <c r="N105" s="312" t="str">
        <f>+'[8]PRESUPUESTO GENERAL'!A101</f>
        <v>GASTOS OPERACIONALES</v>
      </c>
      <c r="O105" s="346"/>
    </row>
    <row r="106" spans="1:15" s="345" customFormat="1" ht="15">
      <c r="A106" s="341"/>
      <c r="B106" s="303">
        <f t="shared" si="3"/>
        <v>0</v>
      </c>
      <c r="D106" s="329"/>
      <c r="E106" s="131"/>
      <c r="F106" s="349"/>
      <c r="G106" s="132"/>
      <c r="H106" s="338"/>
      <c r="J106" s="342"/>
      <c r="L106" s="339"/>
      <c r="M106" s="326">
        <f>+'[8]PRESUPUESTO GENERAL'!Y102</f>
        <v>0</v>
      </c>
      <c r="N106" s="312">
        <f>+'[8]PRESUPUESTO GENERAL'!A102</f>
        <v>0</v>
      </c>
      <c r="O106" s="346"/>
    </row>
    <row r="107" spans="1:15" s="345" customFormat="1" ht="15">
      <c r="A107" s="341"/>
      <c r="B107" s="303" t="str">
        <f t="shared" si="3"/>
        <v>SUELDOS</v>
      </c>
      <c r="D107" s="329">
        <f>+'[8]IG 2015'!Y93</f>
        <v>33809371</v>
      </c>
      <c r="E107" s="131"/>
      <c r="F107" s="349">
        <v>33387800</v>
      </c>
      <c r="G107" s="132"/>
      <c r="H107" s="338">
        <f t="shared" si="5"/>
        <v>-0.012469057765079393</v>
      </c>
      <c r="J107" s="342"/>
      <c r="L107" s="339">
        <f t="shared" si="4"/>
        <v>1.0215209702488037</v>
      </c>
      <c r="M107" s="326">
        <f>+'[8]PRESUPUESTO GENERAL'!Y103</f>
        <v>32684400</v>
      </c>
      <c r="N107" s="312" t="str">
        <f>+'[8]PRESUPUESTO GENERAL'!A103</f>
        <v>SUELDOS</v>
      </c>
      <c r="O107" s="346"/>
    </row>
    <row r="108" spans="1:15" s="345" customFormat="1" ht="15">
      <c r="A108" s="341"/>
      <c r="B108" s="303" t="str">
        <f t="shared" si="3"/>
        <v>HORAS EXTRAS</v>
      </c>
      <c r="D108" s="329">
        <f>+'[8]IG 2015'!Y94</f>
        <v>3064218</v>
      </c>
      <c r="E108" s="131"/>
      <c r="F108" s="349">
        <v>4717556</v>
      </c>
      <c r="G108" s="132"/>
      <c r="H108" s="338">
        <f t="shared" si="5"/>
        <v>0.539562785676476</v>
      </c>
      <c r="J108" s="342"/>
      <c r="L108" s="339">
        <f t="shared" si="4"/>
        <v>1.8040229137826862</v>
      </c>
      <c r="M108" s="326">
        <f>+'[8]PRESUPUESTO GENERAL'!Y104</f>
        <v>2615020</v>
      </c>
      <c r="N108" s="312" t="str">
        <f>+'[8]PRESUPUESTO GENERAL'!A104</f>
        <v>HORAS EXTRAS</v>
      </c>
      <c r="O108" s="346"/>
    </row>
    <row r="109" spans="1:15" s="345" customFormat="1" ht="15">
      <c r="A109" s="341"/>
      <c r="B109" s="303" t="str">
        <f t="shared" si="3"/>
        <v>VIATICOS</v>
      </c>
      <c r="D109" s="329">
        <f>+'[8]IG 2015'!Y95</f>
        <v>0</v>
      </c>
      <c r="E109" s="131"/>
      <c r="F109" s="349">
        <v>0</v>
      </c>
      <c r="G109" s="132"/>
      <c r="H109" s="338"/>
      <c r="J109" s="342"/>
      <c r="L109" s="339"/>
      <c r="M109" s="326">
        <f>+'[8]PRESUPUESTO GENERAL'!Y105</f>
        <v>0</v>
      </c>
      <c r="N109" s="312" t="str">
        <f>+'[8]PRESUPUESTO GENERAL'!A105</f>
        <v>VIATICOS</v>
      </c>
      <c r="O109" s="346"/>
    </row>
    <row r="110" spans="1:15" s="345" customFormat="1" ht="15">
      <c r="A110" s="341"/>
      <c r="B110" s="303" t="str">
        <f t="shared" si="3"/>
        <v>CESANTIAS</v>
      </c>
      <c r="D110" s="329">
        <f>+'[8]IG 2015'!Y96</f>
        <v>3296070</v>
      </c>
      <c r="E110" s="131"/>
      <c r="F110" s="349">
        <v>3501555</v>
      </c>
      <c r="G110" s="132"/>
      <c r="H110" s="338">
        <f t="shared" si="5"/>
        <v>0.062342425980030765</v>
      </c>
      <c r="J110" s="342"/>
      <c r="L110" s="339">
        <f t="shared" si="4"/>
        <v>1.10555753765909</v>
      </c>
      <c r="M110" s="326">
        <f>+'[8]PRESUPUESTO GENERAL'!Y106</f>
        <v>3167230</v>
      </c>
      <c r="N110" s="312" t="str">
        <f>+'[8]PRESUPUESTO GENERAL'!A106</f>
        <v>CESANTIAS</v>
      </c>
      <c r="O110" s="346"/>
    </row>
    <row r="111" spans="1:15" s="345" customFormat="1" ht="15">
      <c r="A111" s="341"/>
      <c r="B111" s="303" t="str">
        <f t="shared" si="3"/>
        <v>INTERESES SOBRE CESANTIAS</v>
      </c>
      <c r="D111" s="329">
        <f>+'[8]IG 2015'!Y97</f>
        <v>389545</v>
      </c>
      <c r="E111" s="131"/>
      <c r="F111" s="349">
        <v>471296</v>
      </c>
      <c r="G111" s="132"/>
      <c r="H111" s="338">
        <f t="shared" si="5"/>
        <v>0.2098627886380264</v>
      </c>
      <c r="J111" s="342"/>
      <c r="L111" s="339">
        <f t="shared" si="4"/>
        <v>1.2398937149772433</v>
      </c>
      <c r="M111" s="326">
        <f>+'[8]PRESUPUESTO GENERAL'!Y107</f>
        <v>380110</v>
      </c>
      <c r="N111" s="312" t="str">
        <f>+'[8]PRESUPUESTO GENERAL'!A107</f>
        <v>INTERESES SOBRE CESANTIAS</v>
      </c>
      <c r="O111" s="346"/>
    </row>
    <row r="112" spans="1:15" s="345" customFormat="1" ht="15">
      <c r="A112" s="341"/>
      <c r="B112" s="303" t="str">
        <f t="shared" si="3"/>
        <v>PRIMA DE SERVICIOS</v>
      </c>
      <c r="D112" s="329">
        <f>+'[8]IG 2015'!Y98</f>
        <v>2963187</v>
      </c>
      <c r="E112" s="131"/>
      <c r="F112" s="349">
        <v>2946053</v>
      </c>
      <c r="G112" s="132"/>
      <c r="H112" s="338">
        <f t="shared" si="5"/>
        <v>-0.005782287786764723</v>
      </c>
      <c r="J112" s="342"/>
      <c r="L112" s="339">
        <f t="shared" si="4"/>
        <v>1.082065436968802</v>
      </c>
      <c r="M112" s="326">
        <f>+'[8]PRESUPUESTO GENERAL'!Y108</f>
        <v>2722620</v>
      </c>
      <c r="N112" s="312" t="str">
        <f>+'[8]PRESUPUESTO GENERAL'!A108</f>
        <v>PRIMA DE SERVICIOS</v>
      </c>
      <c r="O112" s="346"/>
    </row>
    <row r="113" spans="1:15" s="345" customFormat="1" ht="15">
      <c r="A113" s="341"/>
      <c r="B113" s="303" t="str">
        <f t="shared" si="3"/>
        <v>VACACIONES</v>
      </c>
      <c r="D113" s="329">
        <f>+'[8]IG 2015'!Y99</f>
        <v>1324887</v>
      </c>
      <c r="E113" s="131"/>
      <c r="F113" s="349">
        <v>1434432</v>
      </c>
      <c r="G113" s="132"/>
      <c r="H113" s="338">
        <f t="shared" si="5"/>
        <v>0.08268252311329193</v>
      </c>
      <c r="J113" s="342"/>
      <c r="L113" s="339">
        <f t="shared" si="4"/>
        <v>0.9744716408176575</v>
      </c>
      <c r="M113" s="326">
        <f>+'[8]PRESUPUESTO GENERAL'!Y109</f>
        <v>1472010</v>
      </c>
      <c r="N113" s="312" t="str">
        <f>+'[8]PRESUPUESTO GENERAL'!A109</f>
        <v>VACACIONES</v>
      </c>
      <c r="O113" s="346"/>
    </row>
    <row r="114" spans="1:15" s="345" customFormat="1" ht="15">
      <c r="A114" s="341"/>
      <c r="B114" s="303" t="str">
        <f t="shared" si="3"/>
        <v>PRIMA EXTRALEGAL</v>
      </c>
      <c r="D114" s="329">
        <f>+'[8]IG 2015'!Y100</f>
        <v>2963178</v>
      </c>
      <c r="E114" s="131"/>
      <c r="F114" s="349">
        <v>2946050</v>
      </c>
      <c r="G114" s="132"/>
      <c r="H114" s="338">
        <f t="shared" si="5"/>
        <v>-0.005780280496142993</v>
      </c>
      <c r="J114" s="342"/>
      <c r="L114" s="339">
        <f t="shared" si="4"/>
        <v>1.0820643350889951</v>
      </c>
      <c r="M114" s="326">
        <f>+'[8]PRESUPUESTO GENERAL'!Y110</f>
        <v>2722620</v>
      </c>
      <c r="N114" s="312" t="str">
        <f>+'[8]PRESUPUESTO GENERAL'!A110</f>
        <v>PRIMA EXTRALEGAL</v>
      </c>
      <c r="O114" s="346"/>
    </row>
    <row r="115" spans="1:15" s="345" customFormat="1" ht="15">
      <c r="A115" s="341"/>
      <c r="B115" s="303" t="str">
        <f t="shared" si="3"/>
        <v>DOTACIONES</v>
      </c>
      <c r="D115" s="329">
        <f>+'[8]IG 2015'!Y101</f>
        <v>1849338</v>
      </c>
      <c r="E115" s="131"/>
      <c r="F115" s="349">
        <v>1506600</v>
      </c>
      <c r="G115" s="132"/>
      <c r="H115" s="338">
        <f t="shared" si="5"/>
        <v>-0.18533010190673635</v>
      </c>
      <c r="J115" s="342"/>
      <c r="L115" s="339">
        <f t="shared" si="4"/>
        <v>1.092603712502937</v>
      </c>
      <c r="M115" s="326">
        <f>+'[8]PRESUPUESTO GENERAL'!Y111</f>
        <v>1378908</v>
      </c>
      <c r="N115" s="312" t="str">
        <f>+'[8]PRESUPUESTO GENERAL'!A111</f>
        <v>DOTACIONES</v>
      </c>
      <c r="O115" s="346"/>
    </row>
    <row r="116" spans="1:15" s="345" customFormat="1" ht="15">
      <c r="A116" s="341"/>
      <c r="B116" s="303" t="str">
        <f t="shared" si="3"/>
        <v>APORTES A SALUD</v>
      </c>
      <c r="D116" s="329">
        <f>+'[8]IG 2015'!Y102</f>
        <v>3914001</v>
      </c>
      <c r="E116" s="131"/>
      <c r="F116" s="349">
        <v>5327651</v>
      </c>
      <c r="G116" s="132"/>
      <c r="H116" s="338">
        <f t="shared" si="5"/>
        <v>0.3611777309203549</v>
      </c>
      <c r="J116" s="342"/>
      <c r="L116" s="339">
        <f t="shared" si="4"/>
        <v>1.7756232419245177</v>
      </c>
      <c r="M116" s="326">
        <f>+'[8]PRESUPUESTO GENERAL'!Y112</f>
        <v>3000440</v>
      </c>
      <c r="N116" s="312" t="str">
        <f>+'[8]PRESUPUESTO GENERAL'!A112</f>
        <v>APORTES A SALUD</v>
      </c>
      <c r="O116" s="346"/>
    </row>
    <row r="117" spans="1:15" s="345" customFormat="1" ht="15">
      <c r="A117" s="341"/>
      <c r="B117" s="303" t="str">
        <f t="shared" si="3"/>
        <v>APORTES A PENSION</v>
      </c>
      <c r="D117" s="329">
        <f>+'[8]IG 2015'!Y103</f>
        <v>5259188</v>
      </c>
      <c r="E117" s="131"/>
      <c r="F117" s="349">
        <v>6009963</v>
      </c>
      <c r="G117" s="132"/>
      <c r="H117" s="338">
        <f t="shared" si="5"/>
        <v>0.14275492718647823</v>
      </c>
      <c r="J117" s="342"/>
      <c r="L117" s="339">
        <f t="shared" si="4"/>
        <v>1.4188127226499148</v>
      </c>
      <c r="M117" s="326">
        <f>+'[8]PRESUPUESTO GENERAL'!Y113</f>
        <v>4235910</v>
      </c>
      <c r="N117" s="312" t="str">
        <f>+'[8]PRESUPUESTO GENERAL'!A113</f>
        <v>APORTES A PENSION</v>
      </c>
      <c r="O117" s="346"/>
    </row>
    <row r="118" spans="1:15" s="345" customFormat="1" ht="15">
      <c r="A118" s="341"/>
      <c r="B118" s="303" t="str">
        <f t="shared" si="3"/>
        <v>ARP</v>
      </c>
      <c r="D118" s="329">
        <f>+'[8]IG 2015'!Y104</f>
        <v>1546247</v>
      </c>
      <c r="E118" s="131"/>
      <c r="F118" s="349">
        <v>610576</v>
      </c>
      <c r="G118" s="132"/>
      <c r="H118" s="338">
        <f t="shared" si="5"/>
        <v>-0.6051238902969577</v>
      </c>
      <c r="J118" s="342"/>
      <c r="L118" s="339">
        <f t="shared" si="4"/>
        <v>1.6568327363508086</v>
      </c>
      <c r="M118" s="326">
        <f>+'[8]PRESUPUESTO GENERAL'!Y114</f>
        <v>368520</v>
      </c>
      <c r="N118" s="312" t="str">
        <f>+'[8]PRESUPUESTO GENERAL'!A114</f>
        <v>ARP</v>
      </c>
      <c r="O118" s="346"/>
    </row>
    <row r="119" spans="1:15" s="345" customFormat="1" ht="15">
      <c r="A119" s="341"/>
      <c r="B119" s="303" t="str">
        <f t="shared" si="3"/>
        <v>APORTES A CAJA DE COMPENSACION</v>
      </c>
      <c r="D119" s="329">
        <f>+'[8]IG 2015'!Y105</f>
        <v>1753350</v>
      </c>
      <c r="E119" s="131"/>
      <c r="F119" s="349">
        <v>2504464</v>
      </c>
      <c r="G119" s="132"/>
      <c r="H119" s="338">
        <f t="shared" si="5"/>
        <v>0.42838794308038897</v>
      </c>
      <c r="J119" s="342"/>
      <c r="L119" s="339">
        <f t="shared" si="4"/>
        <v>1.7737248402951884</v>
      </c>
      <c r="M119" s="326">
        <f>+'[8]PRESUPUESTO GENERAL'!Y115</f>
        <v>1411980</v>
      </c>
      <c r="N119" s="312" t="str">
        <f>+'[8]PRESUPUESTO GENERAL'!A115</f>
        <v>APORTES A CAJA DE COMPENSACION</v>
      </c>
      <c r="O119" s="346"/>
    </row>
    <row r="120" spans="1:15" s="345" customFormat="1" ht="15">
      <c r="A120" s="341"/>
      <c r="B120" s="303" t="str">
        <f t="shared" si="3"/>
        <v>ICBF</v>
      </c>
      <c r="D120" s="329">
        <f>+'[8]IG 2015'!Y106</f>
        <v>1315014</v>
      </c>
      <c r="E120" s="131"/>
      <c r="F120" s="349">
        <v>1878132</v>
      </c>
      <c r="G120" s="132"/>
      <c r="H120" s="338">
        <f t="shared" si="5"/>
        <v>0.4282220569514849</v>
      </c>
      <c r="J120" s="342"/>
      <c r="L120" s="339">
        <f t="shared" si="4"/>
        <v>1.7735459928043287</v>
      </c>
      <c r="M120" s="326">
        <f>+'[8]PRESUPUESTO GENERAL'!Y116</f>
        <v>1058970</v>
      </c>
      <c r="N120" s="312" t="str">
        <f>+'[8]PRESUPUESTO GENERAL'!A116</f>
        <v>ICBF</v>
      </c>
      <c r="O120" s="346"/>
    </row>
    <row r="121" spans="1:15" s="345" customFormat="1" ht="15">
      <c r="A121" s="341"/>
      <c r="B121" s="303" t="str">
        <f t="shared" si="3"/>
        <v>SENA</v>
      </c>
      <c r="D121" s="329">
        <f>+'[8]IG 2015'!Y107</f>
        <v>876533</v>
      </c>
      <c r="E121" s="343"/>
      <c r="F121" s="349">
        <v>1252244</v>
      </c>
      <c r="G121" s="132"/>
      <c r="H121" s="338">
        <f t="shared" si="5"/>
        <v>0.42863303492281524</v>
      </c>
      <c r="J121" s="342"/>
      <c r="L121" s="339">
        <f t="shared" si="4"/>
        <v>1.773691590770669</v>
      </c>
      <c r="M121" s="326">
        <f>+'[8]PRESUPUESTO GENERAL'!Y117</f>
        <v>706010</v>
      </c>
      <c r="N121" s="312" t="str">
        <f>+'[8]PRESUPUESTO GENERAL'!A117</f>
        <v>SENA</v>
      </c>
      <c r="O121" s="346"/>
    </row>
    <row r="122" spans="1:15" s="345" customFormat="1" ht="15">
      <c r="A122" s="341"/>
      <c r="B122" s="303" t="str">
        <f t="shared" si="3"/>
        <v>PRIMA DE VACACIONES</v>
      </c>
      <c r="D122" s="329">
        <f>+'[8]IG 2015'!Y108</f>
        <v>673460</v>
      </c>
      <c r="E122" s="343"/>
      <c r="F122" s="349">
        <v>753957</v>
      </c>
      <c r="G122" s="132"/>
      <c r="H122" s="338">
        <f t="shared" si="5"/>
        <v>0.11952751462596145</v>
      </c>
      <c r="J122" s="342"/>
      <c r="L122" s="339">
        <f t="shared" si="4"/>
        <v>0.5536148559344436</v>
      </c>
      <c r="M122" s="326">
        <f>+'[8]PRESUPUESTO GENERAL'!Y118</f>
        <v>1361880</v>
      </c>
      <c r="N122" s="312" t="str">
        <f>+'[8]PRESUPUESTO GENERAL'!A118</f>
        <v>PRIMA DE VACACIONES</v>
      </c>
      <c r="O122" s="346"/>
    </row>
    <row r="123" spans="1:15" s="345" customFormat="1" ht="15">
      <c r="A123" s="341"/>
      <c r="B123" s="303" t="str">
        <f t="shared" si="3"/>
        <v>PROV. BONIFICACION</v>
      </c>
      <c r="D123" s="329">
        <f>+'[8]IG 2015'!Y109</f>
        <v>2945550</v>
      </c>
      <c r="E123" s="131"/>
      <c r="F123" s="351">
        <v>1167250</v>
      </c>
      <c r="G123" s="132"/>
      <c r="H123" s="338">
        <f t="shared" si="5"/>
        <v>-0.6037242620223727</v>
      </c>
      <c r="J123" s="342"/>
      <c r="L123" s="339">
        <f t="shared" si="4"/>
        <v>0.857087261726437</v>
      </c>
      <c r="M123" s="326">
        <f>+'[8]PRESUPUESTO GENERAL'!Y119</f>
        <v>1361880</v>
      </c>
      <c r="N123" s="312" t="str">
        <f>+'[8]PRESUPUESTO GENERAL'!A119</f>
        <v>PROV. BONIFICACION</v>
      </c>
      <c r="O123" s="346"/>
    </row>
    <row r="124" spans="1:15" s="345" customFormat="1" ht="15.75" customHeight="1">
      <c r="A124" s="341"/>
      <c r="B124" s="303" t="str">
        <f t="shared" si="3"/>
        <v>INDUSTRIA Y COMERCIO</v>
      </c>
      <c r="D124" s="329">
        <f>+'[8]IG 2015'!Y110</f>
        <v>0</v>
      </c>
      <c r="E124" s="131"/>
      <c r="F124" s="349">
        <v>0</v>
      </c>
      <c r="G124" s="132"/>
      <c r="H124" s="338"/>
      <c r="J124" s="342"/>
      <c r="L124" s="339"/>
      <c r="M124" s="326">
        <f>+'[8]PRESUPUESTO GENERAL'!Y120</f>
        <v>0</v>
      </c>
      <c r="N124" s="312" t="str">
        <f>+'[8]PRESUPUESTO GENERAL'!A120</f>
        <v>INDUSTRIA Y COMERCIO</v>
      </c>
      <c r="O124" s="346"/>
    </row>
    <row r="125" spans="1:15" s="345" customFormat="1" ht="15">
      <c r="A125" s="341"/>
      <c r="B125" s="303" t="str">
        <f t="shared" si="3"/>
        <v>A LA PROPIEDAD RAIZ</v>
      </c>
      <c r="D125" s="329">
        <f>+'[8]IG 2015'!Y111</f>
        <v>313129</v>
      </c>
      <c r="E125" s="131"/>
      <c r="F125" s="368">
        <v>552720</v>
      </c>
      <c r="G125" s="132"/>
      <c r="H125" s="338">
        <f t="shared" si="5"/>
        <v>0.7651511038581543</v>
      </c>
      <c r="J125" s="342"/>
      <c r="L125" s="339">
        <f t="shared" si="4"/>
        <v>1.674909090909091</v>
      </c>
      <c r="M125" s="326">
        <f>+'[8]PRESUPUESTO GENERAL'!Y121</f>
        <v>330000</v>
      </c>
      <c r="N125" s="312" t="str">
        <f>+'[8]PRESUPUESTO GENERAL'!A121</f>
        <v>A LA PROPIEDAD RAIZ</v>
      </c>
      <c r="O125" s="346"/>
    </row>
    <row r="126" spans="1:15" s="345" customFormat="1" ht="15">
      <c r="A126" s="341"/>
      <c r="B126" s="303" t="str">
        <f t="shared" si="3"/>
        <v>SEGUROS</v>
      </c>
      <c r="D126" s="329">
        <f>+'[8]IG 2015'!Y112</f>
        <v>43124473</v>
      </c>
      <c r="E126" s="131"/>
      <c r="F126" s="368">
        <v>42852699</v>
      </c>
      <c r="G126" s="132"/>
      <c r="H126" s="338">
        <f t="shared" si="5"/>
        <v>-0.006302082810380083</v>
      </c>
      <c r="J126" s="342"/>
      <c r="L126" s="339">
        <f t="shared" si="4"/>
        <v>0.7592546537606149</v>
      </c>
      <c r="M126" s="326">
        <f>+'[8]PRESUPUESTO GENERAL'!Y122</f>
        <v>56440482.50181817</v>
      </c>
      <c r="N126" s="312" t="str">
        <f>+'[8]PRESUPUESTO GENERAL'!A122</f>
        <v>SEGUROS</v>
      </c>
      <c r="O126" s="346"/>
    </row>
    <row r="127" spans="1:15" s="345" customFormat="1" ht="15">
      <c r="A127" s="341"/>
      <c r="B127" s="303" t="str">
        <f t="shared" si="3"/>
        <v>ACUEDUCTO Y ALCANTARILLADO</v>
      </c>
      <c r="D127" s="329">
        <f>+'[8]IG 2015'!Y113</f>
        <v>388465</v>
      </c>
      <c r="E127" s="131"/>
      <c r="F127" s="477">
        <v>442733</v>
      </c>
      <c r="G127" s="132"/>
      <c r="H127" s="338">
        <f t="shared" si="5"/>
        <v>0.13969855714157003</v>
      </c>
      <c r="J127" s="342"/>
      <c r="L127" s="339">
        <f t="shared" si="4"/>
        <v>0.9864817290552584</v>
      </c>
      <c r="M127" s="326">
        <f>+'[8]PRESUPUESTO GENERAL'!Y123</f>
        <v>448800</v>
      </c>
      <c r="N127" s="312" t="str">
        <f>+'[8]PRESUPUESTO GENERAL'!A123</f>
        <v>ACUEDUCTO Y ALCANTARILLADO</v>
      </c>
      <c r="O127" s="346"/>
    </row>
    <row r="128" spans="1:15" s="345" customFormat="1" ht="15">
      <c r="A128" s="341"/>
      <c r="B128" s="303" t="str">
        <f t="shared" si="3"/>
        <v>ENERGIA ELECTRICA</v>
      </c>
      <c r="D128" s="329">
        <f>+'[8]IG 2015'!Y114</f>
        <v>1975808</v>
      </c>
      <c r="E128" s="355"/>
      <c r="F128" s="367">
        <v>2205257</v>
      </c>
      <c r="G128" s="347"/>
      <c r="H128" s="338">
        <f t="shared" si="5"/>
        <v>0.11612919878854626</v>
      </c>
      <c r="J128" s="342"/>
      <c r="L128" s="339">
        <f t="shared" si="4"/>
        <v>1.0610358929946113</v>
      </c>
      <c r="M128" s="326">
        <f>+'[8]PRESUPUESTO GENERAL'!Y124</f>
        <v>2078400</v>
      </c>
      <c r="N128" s="312" t="str">
        <f>+'[8]PRESUPUESTO GENERAL'!A124</f>
        <v>ENERGIA ELECTRICA</v>
      </c>
      <c r="O128" s="346"/>
    </row>
    <row r="129" spans="1:15" s="345" customFormat="1" ht="15">
      <c r="A129" s="341"/>
      <c r="B129" s="303" t="str">
        <f t="shared" si="3"/>
        <v>TELEFONO</v>
      </c>
      <c r="D129" s="329">
        <f>+'[8]IG 2015'!Y115</f>
        <v>2174277</v>
      </c>
      <c r="E129" s="131"/>
      <c r="F129" s="368">
        <v>2822115</v>
      </c>
      <c r="G129" s="132"/>
      <c r="H129" s="338">
        <f t="shared" si="5"/>
        <v>0.2979555962740718</v>
      </c>
      <c r="J129" s="342"/>
      <c r="L129" s="339">
        <f t="shared" si="4"/>
        <v>1.3296949612292157</v>
      </c>
      <c r="M129" s="326">
        <f>+'[8]PRESUPUESTO GENERAL'!Y125</f>
        <v>2122377.75</v>
      </c>
      <c r="N129" s="312" t="str">
        <f>+'[8]PRESUPUESTO GENERAL'!A125</f>
        <v>TELEFONO</v>
      </c>
      <c r="O129" s="346"/>
    </row>
    <row r="130" spans="1:15" s="345" customFormat="1" ht="15">
      <c r="A130" s="341"/>
      <c r="B130" s="303" t="str">
        <f t="shared" si="3"/>
        <v>CORREO, PORTES Y TELEGRAMAS</v>
      </c>
      <c r="D130" s="329">
        <f>+'[8]IG 2015'!Y116</f>
        <v>242951</v>
      </c>
      <c r="E130" s="131"/>
      <c r="F130" s="368">
        <v>365260</v>
      </c>
      <c r="G130" s="132"/>
      <c r="H130" s="338">
        <f t="shared" si="5"/>
        <v>0.5034307329461496</v>
      </c>
      <c r="J130" s="342"/>
      <c r="L130" s="339">
        <f t="shared" si="4"/>
        <v>2.174166666666667</v>
      </c>
      <c r="M130" s="326">
        <f>+'[8]PRESUPUESTO GENERAL'!Y126</f>
        <v>168000</v>
      </c>
      <c r="N130" s="312" t="str">
        <f>+'[8]PRESUPUESTO GENERAL'!A126</f>
        <v>CORREO, PORTES Y TELEGRAMAS</v>
      </c>
      <c r="O130" s="346"/>
    </row>
    <row r="131" spans="1:15" s="345" customFormat="1" ht="15">
      <c r="A131" s="341"/>
      <c r="B131" s="303" t="str">
        <f t="shared" si="3"/>
        <v>PUBLICIDAD Y PROPAGANDA</v>
      </c>
      <c r="D131" s="329">
        <f>+'[8]IG 2015'!Y119</f>
        <v>108000</v>
      </c>
      <c r="E131" s="131"/>
      <c r="F131" s="367">
        <v>422000</v>
      </c>
      <c r="G131" s="347"/>
      <c r="H131" s="338">
        <f t="shared" si="5"/>
        <v>2.9074074074074074</v>
      </c>
      <c r="J131" s="342"/>
      <c r="L131" s="339">
        <f t="shared" si="4"/>
        <v>1.8508771929824561</v>
      </c>
      <c r="M131" s="326">
        <f>+'[8]PRESUPUESTO GENERAL'!Y127</f>
        <v>228000</v>
      </c>
      <c r="N131" s="312" t="str">
        <f>+'[8]PRESUPUESTO GENERAL'!A127</f>
        <v>PUBLICIDAD Y PROPAGANDA</v>
      </c>
      <c r="O131" s="346"/>
    </row>
    <row r="132" spans="1:15" s="345" customFormat="1" ht="15">
      <c r="A132" s="341"/>
      <c r="B132" s="303" t="str">
        <f t="shared" si="3"/>
        <v>MANTENIMIENTO Y REPARACIONES</v>
      </c>
      <c r="D132" s="329">
        <f>+'[8]IG 2015'!Y121</f>
        <v>3027681</v>
      </c>
      <c r="E132" s="131"/>
      <c r="F132" s="368">
        <v>3608473</v>
      </c>
      <c r="G132" s="132"/>
      <c r="H132" s="338">
        <f t="shared" si="5"/>
        <v>0.19182734244459704</v>
      </c>
      <c r="J132" s="342"/>
      <c r="L132" s="339">
        <f t="shared" si="4"/>
        <v>1.252942013888889</v>
      </c>
      <c r="M132" s="326">
        <f>+'[8]PRESUPUESTO GENERAL'!Y128</f>
        <v>2880000</v>
      </c>
      <c r="N132" s="312" t="str">
        <f>+'[8]PRESUPUESTO GENERAL'!A128</f>
        <v>MANTENIMIENTO Y REPARACIONES</v>
      </c>
      <c r="O132" s="346"/>
    </row>
    <row r="133" spans="1:15" s="345" customFormat="1" ht="15">
      <c r="A133" s="341"/>
      <c r="B133" s="303" t="str">
        <f t="shared" si="3"/>
        <v>INSTALACIONES ELECTRICAS</v>
      </c>
      <c r="D133" s="329">
        <f>+'[8]IG 2015'!Y122</f>
        <v>1682724</v>
      </c>
      <c r="E133" s="131"/>
      <c r="F133" s="349">
        <v>0</v>
      </c>
      <c r="G133" s="132"/>
      <c r="H133" s="338">
        <f t="shared" si="5"/>
        <v>-1</v>
      </c>
      <c r="J133" s="342"/>
      <c r="L133" s="339">
        <f t="shared" si="4"/>
        <v>0</v>
      </c>
      <c r="M133" s="326">
        <f>+'[8]PRESUPUESTO GENERAL'!Y129</f>
        <v>1848000</v>
      </c>
      <c r="N133" s="312" t="str">
        <f>+'[8]PRESUPUESTO GENERAL'!A129</f>
        <v>INSTALACIONES ELECTRICAS</v>
      </c>
      <c r="O133" s="346"/>
    </row>
    <row r="134" spans="1:15" s="345" customFormat="1" ht="15">
      <c r="A134" s="341"/>
      <c r="B134" s="303" t="s">
        <v>543</v>
      </c>
      <c r="D134" s="329">
        <v>0</v>
      </c>
      <c r="E134" s="131"/>
      <c r="F134" s="349">
        <v>0</v>
      </c>
      <c r="G134" s="132"/>
      <c r="H134" s="338"/>
      <c r="J134" s="342"/>
      <c r="L134" s="339"/>
      <c r="M134" s="326"/>
      <c r="N134" s="312"/>
      <c r="O134" s="346"/>
    </row>
    <row r="135" spans="1:15" s="328" customFormat="1" ht="15">
      <c r="A135" s="341"/>
      <c r="B135" s="303" t="str">
        <f aca="true" t="shared" si="6" ref="B135:B201">+N135</f>
        <v>REPARACIONES LOCATIVAS</v>
      </c>
      <c r="C135" s="345"/>
      <c r="D135" s="329">
        <f>+'[8]IG 2015'!Y123</f>
        <v>1639772</v>
      </c>
      <c r="E135" s="330"/>
      <c r="F135" s="477">
        <v>2890664</v>
      </c>
      <c r="G135" s="132"/>
      <c r="H135" s="338">
        <f t="shared" si="5"/>
        <v>0.7628450784621277</v>
      </c>
      <c r="J135" s="342"/>
      <c r="L135" s="339">
        <f t="shared" si="4"/>
        <v>1.616702460850112</v>
      </c>
      <c r="M135" s="326">
        <f>+'[8]PRESUPUESTO GENERAL'!Y130</f>
        <v>1788000</v>
      </c>
      <c r="N135" s="312" t="str">
        <f>+'[8]PRESUPUESTO GENERAL'!A130</f>
        <v>REPARACIONES LOCATIVAS</v>
      </c>
      <c r="O135" s="346"/>
    </row>
    <row r="136" spans="1:15" s="328" customFormat="1" ht="15">
      <c r="A136" s="327"/>
      <c r="B136" s="303" t="str">
        <f t="shared" si="6"/>
        <v>GASTOS DE VIAJE</v>
      </c>
      <c r="D136" s="329">
        <f>+'[8]IG 2015'!Y124</f>
        <v>6390800</v>
      </c>
      <c r="E136" s="330"/>
      <c r="F136" s="368">
        <v>4693150</v>
      </c>
      <c r="G136" s="332"/>
      <c r="H136" s="338">
        <f t="shared" si="5"/>
        <v>-0.2656396695249421</v>
      </c>
      <c r="J136" s="342"/>
      <c r="L136" s="339">
        <f aca="true" t="shared" si="7" ref="L136:L197">+F136/M136</f>
        <v>0.7072257383966245</v>
      </c>
      <c r="M136" s="326">
        <f>+'[8]PRESUPUESTO GENERAL'!Y131</f>
        <v>6636000</v>
      </c>
      <c r="N136" s="312" t="str">
        <f>+'[8]PRESUPUESTO GENERAL'!A131</f>
        <v>GASTOS DE VIAJE</v>
      </c>
      <c r="O136" s="346"/>
    </row>
    <row r="137" spans="1:15" s="328" customFormat="1" ht="15">
      <c r="A137" s="327"/>
      <c r="B137" s="303" t="str">
        <f t="shared" si="6"/>
        <v>SECADO DE CAFÉ</v>
      </c>
      <c r="C137" s="330"/>
      <c r="D137" s="329">
        <f>+'[8]IG 2015'!Y125</f>
        <v>387900</v>
      </c>
      <c r="E137" s="330"/>
      <c r="F137" s="352"/>
      <c r="G137" s="330"/>
      <c r="H137" s="338">
        <f t="shared" si="5"/>
        <v>-1</v>
      </c>
      <c r="J137" s="333"/>
      <c r="L137" s="339">
        <f t="shared" si="7"/>
        <v>0</v>
      </c>
      <c r="M137" s="326">
        <f>+'[8]PRESUPUESTO GENERAL'!Y132</f>
        <v>240000</v>
      </c>
      <c r="N137" s="312" t="str">
        <f>+'[8]PRESUPUESTO GENERAL'!A132</f>
        <v>SECADO DE CAFÉ</v>
      </c>
      <c r="O137" s="340"/>
    </row>
    <row r="138" spans="1:15" s="345" customFormat="1" ht="15">
      <c r="A138" s="327"/>
      <c r="B138" s="303" t="str">
        <f t="shared" si="6"/>
        <v>DEPRECIACION</v>
      </c>
      <c r="C138" s="328"/>
      <c r="D138" s="329">
        <f>+'[8]IG 2015'!Y126</f>
        <v>14651125</v>
      </c>
      <c r="E138" s="355"/>
      <c r="F138" s="349">
        <v>10293741.85</v>
      </c>
      <c r="G138" s="132"/>
      <c r="H138" s="338">
        <f t="shared" si="5"/>
        <v>-0.29740945831804727</v>
      </c>
      <c r="J138" s="342"/>
      <c r="L138" s="339">
        <f t="shared" si="7"/>
        <v>0.7031820811815176</v>
      </c>
      <c r="M138" s="326">
        <f>+'[8]PRESUPUESTO GENERAL'!Y133</f>
        <v>14638800</v>
      </c>
      <c r="N138" s="312" t="str">
        <f>+'[8]PRESUPUESTO GENERAL'!A133</f>
        <v>DEPRECIACION</v>
      </c>
      <c r="O138" s="346"/>
    </row>
    <row r="139" spans="1:15" s="328" customFormat="1" ht="15">
      <c r="A139" s="327"/>
      <c r="B139" s="303" t="str">
        <f t="shared" si="6"/>
        <v>DIVERSOS</v>
      </c>
      <c r="C139" s="330"/>
      <c r="D139" s="329">
        <v>30538591</v>
      </c>
      <c r="E139" s="330"/>
      <c r="F139" s="352">
        <f>144000+1686940+24000000</f>
        <v>25830940</v>
      </c>
      <c r="G139" s="332"/>
      <c r="H139" s="338">
        <f aca="true" t="shared" si="8" ref="H139:H204">+(F139-D139)/D139</f>
        <v>-0.15415416513486166</v>
      </c>
      <c r="J139" s="342"/>
      <c r="L139" s="339">
        <f t="shared" si="7"/>
        <v>4.100149206349206</v>
      </c>
      <c r="M139" s="326">
        <f>+'[8]PRESUPUESTO GENERAL'!Y134</f>
        <v>6300000</v>
      </c>
      <c r="N139" s="312" t="str">
        <f>+'[8]PRESUPUESTO GENERAL'!A134</f>
        <v>DIVERSOS</v>
      </c>
      <c r="O139" s="346"/>
    </row>
    <row r="140" spans="1:15" s="345" customFormat="1" ht="15">
      <c r="A140" s="341"/>
      <c r="B140" s="303" t="str">
        <f t="shared" si="6"/>
        <v>COMISIONES</v>
      </c>
      <c r="D140" s="329">
        <f>+'[8]IG 2015'!Y128</f>
        <v>16570057</v>
      </c>
      <c r="E140" s="131"/>
      <c r="F140" s="351">
        <v>22084611</v>
      </c>
      <c r="G140" s="132"/>
      <c r="H140" s="338">
        <f t="shared" si="8"/>
        <v>0.33280235547771503</v>
      </c>
      <c r="J140" s="342"/>
      <c r="L140" s="339">
        <f t="shared" si="7"/>
        <v>0.7440961202851545</v>
      </c>
      <c r="M140" s="326">
        <f>+'[8]PRESUPUESTO GENERAL'!Y135</f>
        <v>29679782.487693496</v>
      </c>
      <c r="N140" s="312" t="str">
        <f>+'[8]PRESUPUESTO GENERAL'!A135</f>
        <v>COMISIONES</v>
      </c>
      <c r="O140" s="346"/>
    </row>
    <row r="141" spans="1:15" s="345" customFormat="1" ht="15">
      <c r="A141" s="327"/>
      <c r="B141" s="303" t="str">
        <f t="shared" si="6"/>
        <v>INTERNET</v>
      </c>
      <c r="C141" s="330"/>
      <c r="D141" s="329">
        <f>+'[8]IG 2015'!Y129</f>
        <v>1212282</v>
      </c>
      <c r="E141" s="343"/>
      <c r="F141" s="478">
        <v>1295658</v>
      </c>
      <c r="G141" s="330"/>
      <c r="H141" s="338">
        <f t="shared" si="8"/>
        <v>0.0687760768534054</v>
      </c>
      <c r="J141" s="342"/>
      <c r="L141" s="339">
        <f t="shared" si="7"/>
        <v>1.10175</v>
      </c>
      <c r="M141" s="326">
        <f>+'[8]PRESUPUESTO GENERAL'!Y136</f>
        <v>1176000</v>
      </c>
      <c r="N141" s="312" t="str">
        <f>+'[8]PRESUPUESTO GENERAL'!A136</f>
        <v>INTERNET</v>
      </c>
      <c r="O141" s="346"/>
    </row>
    <row r="142" spans="1:15" s="345" customFormat="1" ht="15">
      <c r="A142" s="341"/>
      <c r="B142" s="303" t="str">
        <f t="shared" si="6"/>
        <v>ELEMENTOS DE ASEO Y CAFETERIA</v>
      </c>
      <c r="D142" s="329">
        <f>+'[8]IG 2015'!Y130</f>
        <v>1126629</v>
      </c>
      <c r="E142" s="343"/>
      <c r="F142" s="368">
        <f>270956+1683927</f>
        <v>1954883</v>
      </c>
      <c r="G142" s="132"/>
      <c r="H142" s="338">
        <f t="shared" si="8"/>
        <v>0.735161264267119</v>
      </c>
      <c r="J142" s="342"/>
      <c r="L142" s="339">
        <f t="shared" si="7"/>
        <v>1.6455244107744107</v>
      </c>
      <c r="M142" s="326">
        <f>+'[8]PRESUPUESTO GENERAL'!Y137</f>
        <v>1188000</v>
      </c>
      <c r="N142" s="312" t="str">
        <f>+'[8]PRESUPUESTO GENERAL'!A137</f>
        <v>ELEMENTOS DE ASEO Y CAFETERIA</v>
      </c>
      <c r="O142" s="346"/>
    </row>
    <row r="143" spans="1:15" s="345" customFormat="1" ht="15">
      <c r="A143" s="341"/>
      <c r="B143" s="303" t="str">
        <f t="shared" si="6"/>
        <v>UTILES, PAPELERIA Y FOTOCOPIAS</v>
      </c>
      <c r="D143" s="329">
        <f>+'[8]IG 2015'!Y131</f>
        <v>3192450</v>
      </c>
      <c r="E143" s="131"/>
      <c r="F143" s="368">
        <f>2210173+38675</f>
        <v>2248848</v>
      </c>
      <c r="G143" s="132"/>
      <c r="H143" s="338">
        <f t="shared" si="8"/>
        <v>-0.2955729925292487</v>
      </c>
      <c r="J143" s="342"/>
      <c r="L143" s="339">
        <f t="shared" si="7"/>
        <v>0.8704319554110543</v>
      </c>
      <c r="M143" s="326">
        <f>+'[8]PRESUPUESTO GENERAL'!Y138</f>
        <v>2583600</v>
      </c>
      <c r="N143" s="312" t="str">
        <f>+'[8]PRESUPUESTO GENERAL'!A138</f>
        <v>UTILES, PAPELERIA Y FOTOCOPIAS</v>
      </c>
      <c r="O143" s="346"/>
    </row>
    <row r="144" spans="1:15" s="328" customFormat="1" ht="15">
      <c r="A144" s="341"/>
      <c r="B144" s="303" t="str">
        <f t="shared" si="6"/>
        <v>ENVASES Y EMPAQUES</v>
      </c>
      <c r="C144" s="345"/>
      <c r="D144" s="329">
        <f>+'[8]IG 2015'!Y132</f>
        <v>7891322</v>
      </c>
      <c r="E144" s="330"/>
      <c r="F144" s="351">
        <f>5036722-1686940+2826300</f>
        <v>6176082</v>
      </c>
      <c r="G144" s="347"/>
      <c r="H144" s="338">
        <f t="shared" si="8"/>
        <v>-0.21735775070387445</v>
      </c>
      <c r="J144" s="342"/>
      <c r="L144" s="339">
        <f t="shared" si="7"/>
        <v>2.272289183222958</v>
      </c>
      <c r="M144" s="326">
        <f>+'[8]PRESUPUESTO GENERAL'!Y139</f>
        <v>2718000</v>
      </c>
      <c r="N144" s="312" t="str">
        <f>+'[8]PRESUPUESTO GENERAL'!A139</f>
        <v>ENVASES Y EMPAQUES</v>
      </c>
      <c r="O144" s="346"/>
    </row>
    <row r="145" spans="1:15" s="345" customFormat="1" ht="15">
      <c r="A145" s="341"/>
      <c r="B145" s="303">
        <f t="shared" si="6"/>
        <v>0</v>
      </c>
      <c r="C145" s="131"/>
      <c r="D145" s="329"/>
      <c r="E145" s="131"/>
      <c r="F145" s="349"/>
      <c r="G145" s="132"/>
      <c r="H145" s="338"/>
      <c r="J145" s="342"/>
      <c r="L145" s="339"/>
      <c r="M145" s="326">
        <f>+'[8]PRESUPUESTO GENERAL'!Y140</f>
        <v>0</v>
      </c>
      <c r="N145" s="312">
        <f>+'[8]PRESUPUESTO GENERAL'!A140</f>
        <v>0</v>
      </c>
      <c r="O145" s="346"/>
    </row>
    <row r="146" spans="1:15" s="328" customFormat="1" ht="15">
      <c r="A146" s="327"/>
      <c r="B146" s="303" t="str">
        <f t="shared" si="6"/>
        <v>UTILIDAD BRUTA</v>
      </c>
      <c r="C146" s="330"/>
      <c r="D146" s="352">
        <f>+D103-D105</f>
        <v>34085000.309999466</v>
      </c>
      <c r="E146" s="352">
        <f>+E103-E105</f>
        <v>0</v>
      </c>
      <c r="F146" s="352">
        <f>+F103-F105</f>
        <v>-72940383.85</v>
      </c>
      <c r="G146" s="330"/>
      <c r="H146" s="338">
        <f t="shared" si="8"/>
        <v>-3.139955499093881</v>
      </c>
      <c r="J146" s="333"/>
      <c r="L146" s="339">
        <f t="shared" si="7"/>
        <v>-2.250125583344035</v>
      </c>
      <c r="M146" s="326">
        <f>+'[8]PRESUPUESTO GENERAL'!Y141</f>
        <v>32416139.07682401</v>
      </c>
      <c r="N146" s="312" t="str">
        <f>+'[8]PRESUPUESTO GENERAL'!A141</f>
        <v>UTILIDAD BRUTA</v>
      </c>
      <c r="O146" s="340"/>
    </row>
    <row r="147" spans="1:15" s="328" customFormat="1" ht="15">
      <c r="A147" s="341"/>
      <c r="B147" s="303">
        <f t="shared" si="6"/>
        <v>0</v>
      </c>
      <c r="C147" s="345"/>
      <c r="D147" s="329"/>
      <c r="E147" s="330"/>
      <c r="F147" s="331"/>
      <c r="G147" s="332"/>
      <c r="H147" s="338"/>
      <c r="J147" s="342"/>
      <c r="L147" s="339"/>
      <c r="M147" s="326">
        <f>+'[8]PRESUPUESTO GENERAL'!Y142</f>
        <v>0</v>
      </c>
      <c r="N147" s="312">
        <f>+'[8]PRESUPUESTO GENERAL'!A142</f>
        <v>0</v>
      </c>
      <c r="O147" s="346"/>
    </row>
    <row r="148" spans="1:15" s="328" customFormat="1" ht="15">
      <c r="A148" s="327"/>
      <c r="B148" s="303" t="str">
        <f t="shared" si="6"/>
        <v>OTROS  INGRESOS</v>
      </c>
      <c r="D148" s="329"/>
      <c r="E148" s="330"/>
      <c r="F148" s="331"/>
      <c r="G148" s="332"/>
      <c r="H148" s="338"/>
      <c r="J148" s="342"/>
      <c r="L148" s="339"/>
      <c r="M148" s="326">
        <f>+'[8]PRESUPUESTO GENERAL'!Y143</f>
        <v>55800000</v>
      </c>
      <c r="N148" s="312" t="str">
        <f>+'[8]PRESUPUESTO GENERAL'!A143</f>
        <v>OTROS  INGRESOS</v>
      </c>
      <c r="O148" s="346"/>
    </row>
    <row r="149" spans="1:15" s="345" customFormat="1" ht="15">
      <c r="A149" s="327"/>
      <c r="B149" s="303" t="str">
        <f t="shared" si="6"/>
        <v>OTROS </v>
      </c>
      <c r="C149" s="328"/>
      <c r="D149" s="329">
        <f>+'[8]IG 2015'!Y137</f>
        <v>48640677</v>
      </c>
      <c r="E149" s="355"/>
      <c r="F149" s="331">
        <f>16438473+41000000</f>
        <v>57438473</v>
      </c>
      <c r="G149" s="132"/>
      <c r="H149" s="338">
        <f t="shared" si="8"/>
        <v>0.18087322263216032</v>
      </c>
      <c r="J149" s="342"/>
      <c r="L149" s="339">
        <f t="shared" si="7"/>
        <v>1.0293633154121864</v>
      </c>
      <c r="M149" s="326">
        <f>+'[8]PRESUPUESTO GENERAL'!Y144</f>
        <v>55800000</v>
      </c>
      <c r="N149" s="312" t="str">
        <f>+'[8]PRESUPUESTO GENERAL'!A144</f>
        <v>OTROS </v>
      </c>
      <c r="O149" s="346"/>
    </row>
    <row r="150" spans="1:15" s="345" customFormat="1" ht="15">
      <c r="A150" s="327"/>
      <c r="B150" s="303" t="str">
        <f t="shared" si="6"/>
        <v>OTROS GASTOS</v>
      </c>
      <c r="C150" s="330"/>
      <c r="D150" s="352">
        <f>SUM(D151:D153)</f>
        <v>40033399</v>
      </c>
      <c r="E150" s="352">
        <f>SUM(E151:E153)</f>
        <v>0</v>
      </c>
      <c r="F150" s="352">
        <f>SUM(F151:F153)</f>
        <v>35818296</v>
      </c>
      <c r="G150" s="330"/>
      <c r="H150" s="338">
        <f t="shared" si="8"/>
        <v>-0.10528966076550232</v>
      </c>
      <c r="J150" s="342"/>
      <c r="L150" s="339">
        <f t="shared" si="7"/>
        <v>0.8865914851485148</v>
      </c>
      <c r="M150" s="326">
        <f>+'[8]PRESUPUESTO GENERAL'!Y145</f>
        <v>40400000</v>
      </c>
      <c r="N150" s="312" t="str">
        <f>+'[8]PRESUPUESTO GENERAL'!A145</f>
        <v>OTROS GASTOS</v>
      </c>
      <c r="O150" s="346"/>
    </row>
    <row r="151" spans="1:15" s="345" customFormat="1" ht="15">
      <c r="A151" s="341"/>
      <c r="B151" s="303" t="str">
        <f t="shared" si="6"/>
        <v>GASTOS BANCARIOS</v>
      </c>
      <c r="D151" s="329">
        <f>+'[8]IG 2015'!Y139</f>
        <v>34876737</v>
      </c>
      <c r="E151" s="131"/>
      <c r="F151" s="349">
        <v>2353140</v>
      </c>
      <c r="G151" s="132"/>
      <c r="H151" s="338">
        <f t="shared" si="8"/>
        <v>-0.932529812063554</v>
      </c>
      <c r="J151" s="342"/>
      <c r="L151" s="339">
        <f t="shared" si="7"/>
        <v>0.06880526315789473</v>
      </c>
      <c r="M151" s="326">
        <f>+'[8]PRESUPUESTO GENERAL'!Y146</f>
        <v>34200000</v>
      </c>
      <c r="N151" s="312" t="str">
        <f>+'[8]PRESUPUESTO GENERAL'!A146</f>
        <v>GASTOS BANCARIOS</v>
      </c>
      <c r="O151" s="346"/>
    </row>
    <row r="152" spans="1:15" s="345" customFormat="1" ht="15">
      <c r="A152" s="341"/>
      <c r="B152" s="303" t="str">
        <f t="shared" si="6"/>
        <v>4*1000</v>
      </c>
      <c r="D152" s="329">
        <f>+'[8]IG 2015'!Y140</f>
        <v>0</v>
      </c>
      <c r="E152" s="355"/>
      <c r="F152" s="349">
        <f>24135599+125140</f>
        <v>24260739</v>
      </c>
      <c r="G152" s="132"/>
      <c r="H152" s="338" t="e">
        <f t="shared" si="8"/>
        <v>#DIV/0!</v>
      </c>
      <c r="J152" s="342"/>
      <c r="L152" s="339" t="e">
        <f t="shared" si="7"/>
        <v>#DIV/0!</v>
      </c>
      <c r="M152" s="326">
        <f>+'[8]PRESUPUESTO GENERAL'!Y147</f>
        <v>0</v>
      </c>
      <c r="N152" s="312" t="str">
        <f>+'[8]PRESUPUESTO GENERAL'!A147</f>
        <v>4*1000</v>
      </c>
      <c r="O152" s="346"/>
    </row>
    <row r="153" spans="1:15" s="345" customFormat="1" ht="15">
      <c r="A153" s="341"/>
      <c r="B153" s="303" t="str">
        <f t="shared" si="6"/>
        <v>INTERESES LINEA FINANCIAMIENTO</v>
      </c>
      <c r="D153" s="329">
        <f>+'[8]IG 2015'!Y141</f>
        <v>5156662</v>
      </c>
      <c r="E153" s="131"/>
      <c r="F153" s="359">
        <f>9290955-86538</f>
        <v>9204417</v>
      </c>
      <c r="G153" s="347"/>
      <c r="H153" s="338">
        <f t="shared" si="8"/>
        <v>0.7849564311176493</v>
      </c>
      <c r="J153" s="342"/>
      <c r="L153" s="339">
        <f t="shared" si="7"/>
        <v>1.4845833870967742</v>
      </c>
      <c r="M153" s="326">
        <f>+'[8]PRESUPUESTO GENERAL'!Y148</f>
        <v>6200000</v>
      </c>
      <c r="N153" s="312" t="str">
        <f>+'[8]PRESUPUESTO GENERAL'!A148</f>
        <v>INTERESES LINEA FINANCIAMIENTO</v>
      </c>
      <c r="O153" s="346"/>
    </row>
    <row r="154" spans="1:15" s="345" customFormat="1" ht="15">
      <c r="A154" s="341"/>
      <c r="B154" s="303">
        <f t="shared" si="6"/>
        <v>0</v>
      </c>
      <c r="D154" s="360"/>
      <c r="E154" s="131"/>
      <c r="F154" s="349"/>
      <c r="G154" s="132"/>
      <c r="H154" s="338"/>
      <c r="J154" s="342"/>
      <c r="L154" s="339"/>
      <c r="M154" s="326">
        <f>+'[8]PRESUPUESTO GENERAL'!Y149</f>
        <v>0</v>
      </c>
      <c r="N154" s="312">
        <f>+'[8]PRESUPUESTO GENERAL'!A149</f>
        <v>0</v>
      </c>
      <c r="O154" s="346"/>
    </row>
    <row r="155" spans="1:15" s="345" customFormat="1" ht="15">
      <c r="A155" s="341"/>
      <c r="B155" s="303" t="str">
        <f t="shared" si="6"/>
        <v>UTILIDAD NETA</v>
      </c>
      <c r="D155" s="361">
        <f>+D146+D149-D150</f>
        <v>42692278.309999466</v>
      </c>
      <c r="E155" s="361">
        <f>+E146+E149-E150</f>
        <v>0</v>
      </c>
      <c r="F155" s="362">
        <f>+F146+F149-F150</f>
        <v>-51320206.849999994</v>
      </c>
      <c r="G155" s="132"/>
      <c r="H155" s="338">
        <f t="shared" si="8"/>
        <v>-2.2020957625486965</v>
      </c>
      <c r="J155" s="342"/>
      <c r="L155" s="339">
        <f t="shared" si="7"/>
        <v>-1.07328211438289</v>
      </c>
      <c r="M155" s="326">
        <f>+'[8]PRESUPUESTO GENERAL'!Y150</f>
        <v>47816139.07682401</v>
      </c>
      <c r="N155" s="312" t="str">
        <f>+'[8]PRESUPUESTO GENERAL'!A150</f>
        <v>UTILIDAD NETA</v>
      </c>
      <c r="O155" s="346"/>
    </row>
    <row r="156" spans="1:15" s="345" customFormat="1" ht="15">
      <c r="A156" s="341"/>
      <c r="B156" s="303">
        <f t="shared" si="6"/>
        <v>0</v>
      </c>
      <c r="D156" s="360"/>
      <c r="E156" s="356"/>
      <c r="F156" s="349"/>
      <c r="G156" s="132"/>
      <c r="H156" s="338"/>
      <c r="J156" s="342"/>
      <c r="L156" s="339"/>
      <c r="M156" s="326">
        <f>+'[8]PRESUPUESTO GENERAL'!Y151</f>
        <v>0</v>
      </c>
      <c r="N156" s="312">
        <f>+'[8]PRESUPUESTO GENERAL'!A151</f>
        <v>0</v>
      </c>
      <c r="O156" s="346"/>
    </row>
    <row r="157" spans="1:15" s="345" customFormat="1" ht="15">
      <c r="A157" s="341"/>
      <c r="B157" s="303" t="str">
        <f t="shared" si="6"/>
        <v>ADMINISTRACION</v>
      </c>
      <c r="D157" s="360"/>
      <c r="E157" s="356"/>
      <c r="F157" s="349"/>
      <c r="G157" s="132"/>
      <c r="H157" s="338"/>
      <c r="J157" s="342"/>
      <c r="L157" s="339"/>
      <c r="M157" s="326">
        <f>+'[8]PRESUPUESTO GENERAL'!Y152</f>
        <v>0</v>
      </c>
      <c r="N157" s="312" t="str">
        <f>+'[8]PRESUPUESTO GENERAL'!A152</f>
        <v>ADMINISTRACION</v>
      </c>
      <c r="O157" s="346"/>
    </row>
    <row r="158" spans="1:15" s="345" customFormat="1" ht="15">
      <c r="A158" s="341"/>
      <c r="B158" s="303">
        <f t="shared" si="6"/>
        <v>0</v>
      </c>
      <c r="D158" s="360"/>
      <c r="E158" s="131"/>
      <c r="F158" s="349"/>
      <c r="G158" s="132"/>
      <c r="H158" s="338"/>
      <c r="J158" s="342"/>
      <c r="L158" s="339"/>
      <c r="M158" s="326">
        <f>+'[8]PRESUPUESTO GENERAL'!Y153</f>
        <v>0</v>
      </c>
      <c r="N158" s="312">
        <f>+'[8]PRESUPUESTO GENERAL'!A153</f>
        <v>0</v>
      </c>
      <c r="O158" s="346"/>
    </row>
    <row r="159" spans="1:15" s="328" customFormat="1" ht="15">
      <c r="A159" s="341"/>
      <c r="B159" s="303" t="str">
        <f t="shared" si="6"/>
        <v>INGRESOS</v>
      </c>
      <c r="C159" s="363"/>
      <c r="D159" s="349">
        <f>SUM(D160:D169)</f>
        <v>146230492</v>
      </c>
      <c r="E159" s="349">
        <f>SUM(E160:E169)</f>
        <v>0</v>
      </c>
      <c r="F159" s="349">
        <f>SUM(F160:F169)</f>
        <v>364019922.15999997</v>
      </c>
      <c r="G159" s="332"/>
      <c r="H159" s="338">
        <f t="shared" si="8"/>
        <v>1.489357159244188</v>
      </c>
      <c r="J159" s="342"/>
      <c r="L159" s="339">
        <f t="shared" si="7"/>
        <v>44.714398987839324</v>
      </c>
      <c r="M159" s="326">
        <f>+'[8]PRESUPUESTO GENERAL'!Y154</f>
        <v>8141000</v>
      </c>
      <c r="N159" s="312" t="str">
        <f>+'[8]PRESUPUESTO GENERAL'!A154</f>
        <v>INGRESOS</v>
      </c>
      <c r="O159" s="346"/>
    </row>
    <row r="160" spans="1:15" s="328" customFormat="1" ht="15">
      <c r="A160" s="341"/>
      <c r="B160" s="303" t="str">
        <f t="shared" si="6"/>
        <v>CONTRIBUCIONES </v>
      </c>
      <c r="C160" s="345"/>
      <c r="D160" s="360">
        <f>+'[8]IG 2015'!Y148</f>
        <v>0</v>
      </c>
      <c r="E160" s="330"/>
      <c r="F160" s="348">
        <v>14763530</v>
      </c>
      <c r="G160" s="332"/>
      <c r="H160" s="338"/>
      <c r="J160" s="342"/>
      <c r="L160" s="339"/>
      <c r="M160" s="326">
        <f>+'[8]PRESUPUESTO GENERAL'!Y155</f>
        <v>0</v>
      </c>
      <c r="N160" s="312" t="str">
        <f>+'[8]PRESUPUESTO GENERAL'!A155</f>
        <v>CONTRIBUCIONES </v>
      </c>
      <c r="O160" s="346"/>
    </row>
    <row r="161" spans="1:15" s="345" customFormat="1" ht="15">
      <c r="A161" s="327"/>
      <c r="B161" s="303" t="str">
        <f t="shared" si="6"/>
        <v>INTERESES DE CREDITO</v>
      </c>
      <c r="C161" s="330"/>
      <c r="D161" s="360">
        <f>+'[8]IG 2015'!Y149</f>
        <v>11723379</v>
      </c>
      <c r="E161" s="364"/>
      <c r="F161" s="352">
        <f>8237163+499053+160278</f>
        <v>8896494</v>
      </c>
      <c r="G161" s="330"/>
      <c r="H161" s="338">
        <f t="shared" si="8"/>
        <v>-0.24113227082396638</v>
      </c>
      <c r="I161" s="328"/>
      <c r="J161" s="333"/>
      <c r="K161" s="328"/>
      <c r="L161" s="339">
        <f t="shared" si="7"/>
        <v>4.942496666666667</v>
      </c>
      <c r="M161" s="326">
        <f>+'[8]PRESUPUESTO GENERAL'!Y156</f>
        <v>1800000</v>
      </c>
      <c r="N161" s="312" t="str">
        <f>+'[8]PRESUPUESTO GENERAL'!A156</f>
        <v>INTERESES DE CREDITO</v>
      </c>
      <c r="O161" s="340"/>
    </row>
    <row r="162" spans="1:15" s="345" customFormat="1" ht="15">
      <c r="A162" s="327"/>
      <c r="B162" s="303" t="str">
        <f t="shared" si="6"/>
        <v>CUOTAS DE ADMISION Y AFILIACION</v>
      </c>
      <c r="C162" s="330"/>
      <c r="D162" s="360">
        <f>+'[8]IG 2015'!Y150</f>
        <v>35000</v>
      </c>
      <c r="E162" s="355"/>
      <c r="F162" s="349">
        <v>5000</v>
      </c>
      <c r="G162" s="132"/>
      <c r="H162" s="338">
        <f t="shared" si="8"/>
        <v>-0.8571428571428571</v>
      </c>
      <c r="J162" s="342"/>
      <c r="L162" s="339">
        <f t="shared" si="7"/>
        <v>0.2</v>
      </c>
      <c r="M162" s="326">
        <f>+'[8]PRESUPUESTO GENERAL'!Y157</f>
        <v>25000</v>
      </c>
      <c r="N162" s="312" t="str">
        <f>+'[8]PRESUPUESTO GENERAL'!A157</f>
        <v>CUOTAS DE ADMISION Y AFILIACION</v>
      </c>
      <c r="O162" s="346"/>
    </row>
    <row r="163" spans="1:15" s="345" customFormat="1" ht="15">
      <c r="A163" s="341"/>
      <c r="B163" s="303" t="str">
        <f t="shared" si="6"/>
        <v>  OTROS</v>
      </c>
      <c r="D163" s="360">
        <f>+'[8]IG 2015'!Y151</f>
        <v>1431793</v>
      </c>
      <c r="E163" s="343"/>
      <c r="F163" s="351">
        <v>33065780.16</v>
      </c>
      <c r="G163" s="347"/>
      <c r="H163" s="338">
        <f t="shared" si="8"/>
        <v>22.09396690722751</v>
      </c>
      <c r="J163" s="342"/>
      <c r="L163" s="339">
        <f t="shared" si="7"/>
        <v>55.1096336</v>
      </c>
      <c r="M163" s="326">
        <f>+'[8]PRESUPUESTO GENERAL'!Y158</f>
        <v>600000</v>
      </c>
      <c r="N163" s="312" t="str">
        <f>+'[8]PRESUPUESTO GENERAL'!A158</f>
        <v>  OTROS</v>
      </c>
      <c r="O163" s="346"/>
    </row>
    <row r="164" spans="1:15" s="345" customFormat="1" ht="15">
      <c r="A164" s="341"/>
      <c r="B164" s="303" t="str">
        <f t="shared" si="6"/>
        <v>DIVERSOS</v>
      </c>
      <c r="D164" s="360">
        <f>+'[8]IG 2015'!Y152</f>
        <v>47590320</v>
      </c>
      <c r="E164" s="343"/>
      <c r="F164" s="351">
        <f>4300000+2673</f>
        <v>4302673</v>
      </c>
      <c r="G164" s="347"/>
      <c r="H164" s="338">
        <f t="shared" si="8"/>
        <v>-0.9095893240474113</v>
      </c>
      <c r="J164" s="342"/>
      <c r="L164" s="339">
        <f t="shared" si="7"/>
        <v>0.7548549122807018</v>
      </c>
      <c r="M164" s="326">
        <f>+'[8]PRESUPUESTO GENERAL'!Y159</f>
        <v>5700000</v>
      </c>
      <c r="N164" s="312" t="str">
        <f>+'[8]PRESUPUESTO GENERAL'!A159</f>
        <v>DIVERSOS</v>
      </c>
      <c r="O164" s="346"/>
    </row>
    <row r="165" spans="1:15" s="345" customFormat="1" ht="15">
      <c r="A165" s="341"/>
      <c r="B165" s="303" t="str">
        <f t="shared" si="6"/>
        <v>SECADO DE CAFÉ</v>
      </c>
      <c r="D165" s="360">
        <f>+'[8]IG 2015'!Y153</f>
        <v>0</v>
      </c>
      <c r="E165" s="343"/>
      <c r="F165" s="351">
        <v>26204750</v>
      </c>
      <c r="G165" s="132"/>
      <c r="H165" s="338" t="e">
        <f t="shared" si="8"/>
        <v>#DIV/0!</v>
      </c>
      <c r="J165" s="342"/>
      <c r="L165" s="339" t="e">
        <f t="shared" si="7"/>
        <v>#DIV/0!</v>
      </c>
      <c r="M165" s="326">
        <f>+'[8]PRESUPUESTO GENERAL'!Y160</f>
        <v>0</v>
      </c>
      <c r="N165" s="312" t="str">
        <f>+'[8]PRESUPUESTO GENERAL'!A160</f>
        <v>SECADO DE CAFÉ</v>
      </c>
      <c r="O165" s="346"/>
    </row>
    <row r="166" spans="1:15" s="345" customFormat="1" ht="15">
      <c r="A166" s="341"/>
      <c r="B166" s="303" t="str">
        <f t="shared" si="6"/>
        <v>CONSULTAS CIFIN</v>
      </c>
      <c r="D166" s="360">
        <f>+'[8]IG 2015'!Y155</f>
        <v>4000</v>
      </c>
      <c r="E166" s="343"/>
      <c r="F166" s="351">
        <v>132000</v>
      </c>
      <c r="G166" s="347"/>
      <c r="H166" s="338">
        <f t="shared" si="8"/>
        <v>32</v>
      </c>
      <c r="J166" s="342"/>
      <c r="L166" s="339">
        <f t="shared" si="7"/>
        <v>8.25</v>
      </c>
      <c r="M166" s="326">
        <f>+'[8]PRESUPUESTO GENERAL'!Y161</f>
        <v>16000</v>
      </c>
      <c r="N166" s="312" t="str">
        <f>+'[8]PRESUPUESTO GENERAL'!A161</f>
        <v>CONSULTAS CIFIN</v>
      </c>
      <c r="O166" s="346"/>
    </row>
    <row r="167" spans="1:15" s="345" customFormat="1" ht="15">
      <c r="A167" s="341"/>
      <c r="B167" s="303" t="s">
        <v>544</v>
      </c>
      <c r="D167" s="360">
        <f>+'[8]IG 2015'!Y154</f>
        <v>2220000</v>
      </c>
      <c r="E167" s="343"/>
      <c r="F167" s="351">
        <f>21658373+124064268</f>
        <v>145722641</v>
      </c>
      <c r="G167" s="347"/>
      <c r="H167" s="338"/>
      <c r="J167" s="342"/>
      <c r="L167" s="339"/>
      <c r="M167" s="326"/>
      <c r="N167" s="312"/>
      <c r="O167" s="346"/>
    </row>
    <row r="168" spans="1:15" s="345" customFormat="1" ht="15">
      <c r="A168" s="341"/>
      <c r="B168" s="303" t="s">
        <v>545</v>
      </c>
      <c r="D168" s="360"/>
      <c r="E168" s="343"/>
      <c r="F168" s="344">
        <v>44642556</v>
      </c>
      <c r="G168" s="347"/>
      <c r="H168" s="338"/>
      <c r="J168" s="342"/>
      <c r="L168" s="339"/>
      <c r="M168" s="326"/>
      <c r="N168" s="312"/>
      <c r="O168" s="346"/>
    </row>
    <row r="169" spans="1:15" s="345" customFormat="1" ht="15">
      <c r="A169" s="341"/>
      <c r="B169" s="303" t="str">
        <f t="shared" si="6"/>
        <v>CONTRATOS</v>
      </c>
      <c r="D169" s="360">
        <f>+'[8]IG 2015'!Y156</f>
        <v>83226000</v>
      </c>
      <c r="E169" s="343"/>
      <c r="F169" s="344">
        <v>86284498</v>
      </c>
      <c r="G169" s="347"/>
      <c r="H169" s="338">
        <f t="shared" si="8"/>
        <v>0.036749309110133854</v>
      </c>
      <c r="J169" s="342"/>
      <c r="L169" s="339" t="e">
        <f t="shared" si="7"/>
        <v>#DIV/0!</v>
      </c>
      <c r="M169" s="326">
        <f>+'[8]PRESUPUESTO GENERAL'!Y162</f>
        <v>0</v>
      </c>
      <c r="N169" s="312" t="s">
        <v>318</v>
      </c>
      <c r="O169" s="346"/>
    </row>
    <row r="170" spans="1:15" s="345" customFormat="1" ht="15">
      <c r="A170" s="341"/>
      <c r="B170" s="303">
        <f t="shared" si="6"/>
        <v>0</v>
      </c>
      <c r="D170" s="360"/>
      <c r="E170" s="343"/>
      <c r="F170" s="351"/>
      <c r="G170" s="347"/>
      <c r="H170" s="338"/>
      <c r="J170" s="342"/>
      <c r="L170" s="339"/>
      <c r="M170" s="326">
        <f>+'[8]PRESUPUESTO GENERAL'!Y163</f>
        <v>0</v>
      </c>
      <c r="N170" s="312">
        <f>+'[8]PRESUPUESTO GENERAL'!A163</f>
        <v>0</v>
      </c>
      <c r="O170" s="346"/>
    </row>
    <row r="171" spans="1:15" s="345" customFormat="1" ht="15">
      <c r="A171" s="341"/>
      <c r="B171" s="303" t="str">
        <f t="shared" si="6"/>
        <v>GASTOS ADMINISTRATIVOS</v>
      </c>
      <c r="D171" s="351">
        <f>SUM(D173:D224)</f>
        <v>517939419.81</v>
      </c>
      <c r="E171" s="351">
        <f>SUM(E173:E224)</f>
        <v>0</v>
      </c>
      <c r="F171" s="351">
        <f>SUM(F173:F224)</f>
        <v>715491321.8199999</v>
      </c>
      <c r="G171" s="347"/>
      <c r="H171" s="338">
        <f t="shared" si="8"/>
        <v>0.38141893521537623</v>
      </c>
      <c r="J171" s="342"/>
      <c r="L171" s="339">
        <f t="shared" si="7"/>
        <v>1.6431145824339008</v>
      </c>
      <c r="M171" s="326">
        <f>+'[8]PRESUPUESTO GENERAL'!Y164</f>
        <v>435448221</v>
      </c>
      <c r="N171" s="312" t="str">
        <f>+'[8]PRESUPUESTO GENERAL'!A164</f>
        <v>GASTOS ADMINISTRATIVOS</v>
      </c>
      <c r="O171" s="346"/>
    </row>
    <row r="172" spans="1:15" s="345" customFormat="1" ht="15">
      <c r="A172" s="341"/>
      <c r="B172" s="303">
        <f t="shared" si="6"/>
        <v>0</v>
      </c>
      <c r="D172" s="360"/>
      <c r="E172" s="131"/>
      <c r="F172" s="351"/>
      <c r="G172" s="347"/>
      <c r="H172" s="338" t="e">
        <f t="shared" si="8"/>
        <v>#DIV/0!</v>
      </c>
      <c r="J172" s="342"/>
      <c r="L172" s="339" t="e">
        <f t="shared" si="7"/>
        <v>#DIV/0!</v>
      </c>
      <c r="M172" s="326">
        <f>+'[8]PRESUPUESTO GENERAL'!Y165</f>
        <v>0</v>
      </c>
      <c r="N172" s="312">
        <f>+'[8]PRESUPUESTO GENERAL'!A165</f>
        <v>0</v>
      </c>
      <c r="O172" s="346"/>
    </row>
    <row r="173" spans="1:15" s="345" customFormat="1" ht="15">
      <c r="A173" s="341"/>
      <c r="B173" s="303" t="str">
        <f t="shared" si="6"/>
        <v>SUELDOS</v>
      </c>
      <c r="D173" s="360">
        <f>+'[8]IG 2015'!Y160</f>
        <v>100467890</v>
      </c>
      <c r="E173" s="131"/>
      <c r="F173" s="130">
        <v>114005110</v>
      </c>
      <c r="G173" s="132"/>
      <c r="H173" s="338">
        <f t="shared" si="8"/>
        <v>0.13474175679413591</v>
      </c>
      <c r="J173" s="342"/>
      <c r="L173" s="339">
        <f t="shared" si="7"/>
        <v>1.0526262771754686</v>
      </c>
      <c r="M173" s="326">
        <f>+'[8]PRESUPUESTO GENERAL'!Y166</f>
        <v>108305400</v>
      </c>
      <c r="N173" s="312" t="str">
        <f>+'[8]PRESUPUESTO GENERAL'!A166</f>
        <v>SUELDOS</v>
      </c>
      <c r="O173" s="346"/>
    </row>
    <row r="174" spans="1:15" s="345" customFormat="1" ht="15">
      <c r="A174" s="341"/>
      <c r="B174" s="303" t="str">
        <f t="shared" si="6"/>
        <v>HORAS EXTRAS</v>
      </c>
      <c r="D174" s="360">
        <f>+'[8]IG 2015'!Y161</f>
        <v>23971</v>
      </c>
      <c r="E174" s="343"/>
      <c r="F174" s="351"/>
      <c r="G174" s="132"/>
      <c r="H174" s="338">
        <f t="shared" si="8"/>
        <v>-1</v>
      </c>
      <c r="J174" s="342"/>
      <c r="L174" s="339" t="e">
        <f t="shared" si="7"/>
        <v>#DIV/0!</v>
      </c>
      <c r="M174" s="326">
        <f>+'[8]PRESUPUESTO GENERAL'!Y167</f>
        <v>0</v>
      </c>
      <c r="N174" s="312" t="str">
        <f>+'[8]PRESUPUESTO GENERAL'!A167</f>
        <v>HORAS EXTRAS</v>
      </c>
      <c r="O174" s="346"/>
    </row>
    <row r="175" spans="1:15" s="345" customFormat="1" ht="15">
      <c r="A175" s="341"/>
      <c r="B175" s="303" t="str">
        <f t="shared" si="6"/>
        <v>VIATICOS</v>
      </c>
      <c r="D175" s="360">
        <f>+'[8]IG 2015'!Y162</f>
        <v>180780</v>
      </c>
      <c r="E175" s="343"/>
      <c r="F175" s="130">
        <v>1476140</v>
      </c>
      <c r="G175" s="347"/>
      <c r="H175" s="338">
        <f t="shared" si="8"/>
        <v>7.1653944020356235</v>
      </c>
      <c r="J175" s="342"/>
      <c r="L175" s="339" t="e">
        <f t="shared" si="7"/>
        <v>#DIV/0!</v>
      </c>
      <c r="M175" s="326">
        <f>+'[8]PRESUPUESTO GENERAL'!Y168</f>
        <v>0</v>
      </c>
      <c r="N175" s="312" t="str">
        <f>+'[8]PRESUPUESTO GENERAL'!A168</f>
        <v>VIATICOS</v>
      </c>
      <c r="O175" s="346"/>
    </row>
    <row r="176" spans="1:15" s="345" customFormat="1" ht="15">
      <c r="A176" s="341"/>
      <c r="B176" s="303" t="str">
        <f t="shared" si="6"/>
        <v>CESANTIAS</v>
      </c>
      <c r="D176" s="360">
        <f>+'[8]IG 2015'!Y163</f>
        <v>9293133</v>
      </c>
      <c r="E176" s="343"/>
      <c r="F176" s="344">
        <v>11099075</v>
      </c>
      <c r="G176" s="132"/>
      <c r="H176" s="338">
        <f t="shared" si="8"/>
        <v>0.19433080318553494</v>
      </c>
      <c r="J176" s="342"/>
      <c r="L176" s="339">
        <f t="shared" si="7"/>
        <v>1.135648099830764</v>
      </c>
      <c r="M176" s="326">
        <f>+'[8]PRESUPUESTO GENERAL'!Y169</f>
        <v>9773340</v>
      </c>
      <c r="N176" s="312" t="str">
        <f>+'[8]PRESUPUESTO GENERAL'!A169</f>
        <v>CESANTIAS</v>
      </c>
      <c r="O176" s="346"/>
    </row>
    <row r="177" spans="1:15" s="345" customFormat="1" ht="15">
      <c r="A177" s="341"/>
      <c r="B177" s="303" t="str">
        <f t="shared" si="6"/>
        <v>INTERESES SOBRE CESANTIAS</v>
      </c>
      <c r="D177" s="360">
        <f>+'[8]IG 2015'!Y164</f>
        <v>1117102</v>
      </c>
      <c r="E177" s="343"/>
      <c r="F177" s="344">
        <v>1323508</v>
      </c>
      <c r="G177" s="347"/>
      <c r="H177" s="338">
        <f t="shared" si="8"/>
        <v>0.18476916163430018</v>
      </c>
      <c r="J177" s="342"/>
      <c r="L177" s="339">
        <f t="shared" si="7"/>
        <v>1.128483484251633</v>
      </c>
      <c r="M177" s="326">
        <f>+'[8]PRESUPUESTO GENERAL'!Y170</f>
        <v>1172820</v>
      </c>
      <c r="N177" s="312" t="str">
        <f>+'[8]PRESUPUESTO GENERAL'!A170</f>
        <v>INTERESES SOBRE CESANTIAS</v>
      </c>
      <c r="O177" s="346"/>
    </row>
    <row r="178" spans="1:15" s="345" customFormat="1" ht="15">
      <c r="A178" s="341"/>
      <c r="B178" s="303" t="str">
        <f t="shared" si="6"/>
        <v>PRIMA DE SERVICIOS</v>
      </c>
      <c r="D178" s="360">
        <f>+'[8]IG 2015'!Y165</f>
        <v>8501450</v>
      </c>
      <c r="E178" s="343"/>
      <c r="F178" s="344">
        <v>9890884</v>
      </c>
      <c r="G178" s="347"/>
      <c r="H178" s="338">
        <f t="shared" si="8"/>
        <v>0.1634349434508231</v>
      </c>
      <c r="J178" s="342"/>
      <c r="L178" s="339">
        <f t="shared" si="7"/>
        <v>1.0963194005697248</v>
      </c>
      <c r="M178" s="326">
        <f>+'[8]PRESUPUESTO GENERAL'!Y171</f>
        <v>9021900</v>
      </c>
      <c r="N178" s="312" t="str">
        <f>+'[8]PRESUPUESTO GENERAL'!A171</f>
        <v>PRIMA DE SERVICIOS</v>
      </c>
      <c r="O178" s="346"/>
    </row>
    <row r="179" spans="1:15" s="345" customFormat="1" ht="15">
      <c r="A179" s="341"/>
      <c r="B179" s="303" t="str">
        <f t="shared" si="6"/>
        <v>VACACIONES</v>
      </c>
      <c r="D179" s="360">
        <f>+'[8]IG 2015'!Y166</f>
        <v>4808980</v>
      </c>
      <c r="E179" s="343"/>
      <c r="F179" s="344">
        <v>5922415</v>
      </c>
      <c r="G179" s="347"/>
      <c r="H179" s="338">
        <f t="shared" si="8"/>
        <v>0.23153246634421437</v>
      </c>
      <c r="J179" s="342"/>
      <c r="L179" s="339">
        <f t="shared" si="7"/>
        <v>1.311301600375517</v>
      </c>
      <c r="M179" s="326">
        <f>+'[8]PRESUPUESTO GENERAL'!Y172</f>
        <v>4516440</v>
      </c>
      <c r="N179" s="312" t="str">
        <f>+'[8]PRESUPUESTO GENERAL'!A172</f>
        <v>VACACIONES</v>
      </c>
      <c r="O179" s="346"/>
    </row>
    <row r="180" spans="1:15" s="345" customFormat="1" ht="15">
      <c r="A180" s="341"/>
      <c r="B180" s="303" t="str">
        <f t="shared" si="6"/>
        <v>PRIMA EXTRALEGAL</v>
      </c>
      <c r="D180" s="360">
        <f>+'[8]IG 2015'!Y167</f>
        <v>8501480</v>
      </c>
      <c r="E180" s="343"/>
      <c r="F180" s="344">
        <v>9890909</v>
      </c>
      <c r="G180" s="347"/>
      <c r="H180" s="338">
        <f t="shared" si="8"/>
        <v>0.16343377858913977</v>
      </c>
      <c r="J180" s="342"/>
      <c r="L180" s="339">
        <f t="shared" si="7"/>
        <v>1.096322171604651</v>
      </c>
      <c r="M180" s="326">
        <f>+'[8]PRESUPUESTO GENERAL'!Y173</f>
        <v>9021900</v>
      </c>
      <c r="N180" s="312" t="str">
        <f>+'[8]PRESUPUESTO GENERAL'!A173</f>
        <v>PRIMA EXTRALEGAL</v>
      </c>
      <c r="O180" s="346"/>
    </row>
    <row r="181" spans="1:15" s="345" customFormat="1" ht="15">
      <c r="A181" s="341"/>
      <c r="B181" s="303" t="str">
        <f t="shared" si="6"/>
        <v>DOTACION</v>
      </c>
      <c r="D181" s="360">
        <f>+'[8]IG 2015'!Y168</f>
        <v>933777</v>
      </c>
      <c r="E181" s="131"/>
      <c r="F181" s="130">
        <v>941400</v>
      </c>
      <c r="G181" s="347"/>
      <c r="H181" s="338">
        <f aca="true" t="shared" si="9" ref="H181:H194">+(F182-D181)/D181</f>
        <v>8.611916978036511</v>
      </c>
      <c r="J181" s="342"/>
      <c r="L181" s="339">
        <f aca="true" t="shared" si="10" ref="L181:L187">+F182/M181</f>
        <v>8.678739021505907</v>
      </c>
      <c r="M181" s="326">
        <f>+'[8]PRESUPUESTO GENERAL'!Y174</f>
        <v>1034181</v>
      </c>
      <c r="N181" s="312" t="str">
        <f>+'[8]PRESUPUESTO GENERAL'!A174</f>
        <v>DOTACION</v>
      </c>
      <c r="O181" s="346"/>
    </row>
    <row r="182" spans="1:15" s="345" customFormat="1" ht="15">
      <c r="A182" s="341"/>
      <c r="B182" s="303" t="str">
        <f t="shared" si="6"/>
        <v>APORTES A SALUD</v>
      </c>
      <c r="D182" s="360">
        <f>+'[8]IG 2015'!Y170</f>
        <v>9701633</v>
      </c>
      <c r="E182" s="131"/>
      <c r="F182" s="130">
        <v>8975387</v>
      </c>
      <c r="G182" s="132"/>
      <c r="H182" s="338">
        <f t="shared" si="9"/>
        <v>0.7311416541936806</v>
      </c>
      <c r="J182" s="342"/>
      <c r="L182" s="339">
        <f t="shared" si="10"/>
        <v>1.8243587821749483</v>
      </c>
      <c r="M182" s="326">
        <f>+'[8]PRESUPUESTO GENERAL'!Y175</f>
        <v>9205920</v>
      </c>
      <c r="N182" s="312" t="str">
        <f>+'[8]PRESUPUESTO GENERAL'!A175</f>
        <v>APORTES A SALUD</v>
      </c>
      <c r="O182" s="346"/>
    </row>
    <row r="183" spans="1:15" s="345" customFormat="1" ht="15">
      <c r="A183" s="341"/>
      <c r="B183" s="303" t="str">
        <f t="shared" si="6"/>
        <v>APORTES A PENSION</v>
      </c>
      <c r="D183" s="360">
        <f>+'[8]IG 2015'!Y171</f>
        <v>13737159</v>
      </c>
      <c r="E183" s="131"/>
      <c r="F183" s="130">
        <v>16794901</v>
      </c>
      <c r="G183" s="347"/>
      <c r="H183" s="338">
        <f t="shared" si="9"/>
        <v>-0.9156145750369491</v>
      </c>
      <c r="J183" s="342"/>
      <c r="L183" s="339">
        <f t="shared" si="10"/>
        <v>0.08919378914485326</v>
      </c>
      <c r="M183" s="326">
        <f>+'[8]PRESUPUESTO GENERAL'!Y176</f>
        <v>12996600</v>
      </c>
      <c r="N183" s="312" t="str">
        <f>+'[8]PRESUPUESTO GENERAL'!A176</f>
        <v>APORTES A PENSION</v>
      </c>
      <c r="O183" s="346"/>
    </row>
    <row r="184" spans="1:15" s="345" customFormat="1" ht="15">
      <c r="A184" s="341"/>
      <c r="B184" s="303" t="str">
        <f t="shared" si="6"/>
        <v>ARP</v>
      </c>
      <c r="D184" s="360">
        <f>+'[8]IG 2015'!Y172</f>
        <v>1170094</v>
      </c>
      <c r="E184" s="343"/>
      <c r="F184" s="344">
        <v>1159216</v>
      </c>
      <c r="G184" s="132"/>
      <c r="H184" s="338">
        <f t="shared" si="9"/>
        <v>2.5148329963233724</v>
      </c>
      <c r="J184" s="342"/>
      <c r="L184" s="339">
        <f t="shared" si="10"/>
        <v>3.63709805794333</v>
      </c>
      <c r="M184" s="326">
        <f>+'[8]PRESUPUESTO GENERAL'!Y177</f>
        <v>1130760</v>
      </c>
      <c r="N184" s="312" t="str">
        <f>+'[8]PRESUPUESTO GENERAL'!A177</f>
        <v>ARP</v>
      </c>
      <c r="O184" s="346"/>
    </row>
    <row r="185" spans="1:15" s="345" customFormat="1" ht="15">
      <c r="A185" s="341"/>
      <c r="B185" s="303" t="str">
        <f t="shared" si="6"/>
        <v>APORTES A CAJA DE COMPENSACION</v>
      </c>
      <c r="D185" s="360">
        <f>+'[8]IG 2015'!Y173</f>
        <v>4552826</v>
      </c>
      <c r="E185" s="355"/>
      <c r="F185" s="344">
        <v>4112685</v>
      </c>
      <c r="G185" s="132"/>
      <c r="H185" s="338">
        <f t="shared" si="9"/>
        <v>-0.3225827211494575</v>
      </c>
      <c r="J185" s="342"/>
      <c r="L185" s="339">
        <f t="shared" si="10"/>
        <v>0.7119095433309327</v>
      </c>
      <c r="M185" s="326">
        <f>+'[8]PRESUPUESTO GENERAL'!Y178</f>
        <v>4332240</v>
      </c>
      <c r="N185" s="312" t="str">
        <f>+'[8]PRESUPUESTO GENERAL'!A178</f>
        <v>APORTES A CAJA DE COMPENSACION</v>
      </c>
      <c r="O185" s="346"/>
    </row>
    <row r="186" spans="1:15" s="345" customFormat="1" ht="15">
      <c r="A186" s="341"/>
      <c r="B186" s="303" t="str">
        <f t="shared" si="6"/>
        <v>ICBF</v>
      </c>
      <c r="D186" s="360">
        <f>+'[8]IG 2015'!Y174</f>
        <v>3414761</v>
      </c>
      <c r="E186" s="343"/>
      <c r="F186" s="344">
        <v>3084163</v>
      </c>
      <c r="G186" s="132"/>
      <c r="H186" s="338">
        <f t="shared" si="9"/>
        <v>-0.39780002172919277</v>
      </c>
      <c r="J186" s="342"/>
      <c r="L186" s="339">
        <f t="shared" si="10"/>
        <v>0.6329002930024129</v>
      </c>
      <c r="M186" s="326">
        <f>+'[8]PRESUPUESTO GENERAL'!Y179</f>
        <v>3249120</v>
      </c>
      <c r="N186" s="312" t="str">
        <f>+'[8]PRESUPUESTO GENERAL'!A179</f>
        <v>ICBF</v>
      </c>
      <c r="O186" s="346"/>
    </row>
    <row r="187" spans="1:15" s="345" customFormat="1" ht="15">
      <c r="A187" s="341"/>
      <c r="B187" s="303" t="str">
        <f t="shared" si="6"/>
        <v>SENA</v>
      </c>
      <c r="D187" s="360">
        <f>+'[8]IG 2015'!Y175</f>
        <v>2275641</v>
      </c>
      <c r="E187" s="343"/>
      <c r="F187" s="344">
        <v>2056369</v>
      </c>
      <c r="G187" s="132"/>
      <c r="H187" s="338">
        <f t="shared" si="9"/>
        <v>0.8138788148042684</v>
      </c>
      <c r="J187" s="342"/>
      <c r="L187" s="339">
        <f t="shared" si="10"/>
        <v>1.905590179676103</v>
      </c>
      <c r="M187" s="326">
        <f>+'[8]PRESUPUESTO GENERAL'!Y180</f>
        <v>2166120</v>
      </c>
      <c r="N187" s="312" t="str">
        <f>+'[8]PRESUPUESTO GENERAL'!A180</f>
        <v>SENA</v>
      </c>
      <c r="O187" s="346"/>
    </row>
    <row r="188" spans="1:15" s="345" customFormat="1" ht="15">
      <c r="A188" s="341"/>
      <c r="B188" s="303" t="str">
        <f t="shared" si="6"/>
        <v>PRIMA DE VACACIONES</v>
      </c>
      <c r="D188" s="360">
        <f>+'[8]IG 2015'!Y176</f>
        <v>3337989</v>
      </c>
      <c r="E188" s="343"/>
      <c r="F188" s="130">
        <v>4127737</v>
      </c>
      <c r="G188" s="132"/>
      <c r="H188" s="338">
        <f t="shared" si="9"/>
        <v>-0.8783698807875041</v>
      </c>
      <c r="J188" s="342"/>
      <c r="L188" s="339" t="e">
        <f>+#REF!/M188</f>
        <v>#REF!</v>
      </c>
      <c r="M188" s="326">
        <f>+'[8]PRESUPUESTO GENERAL'!Y181</f>
        <v>4512840</v>
      </c>
      <c r="N188" s="312" t="str">
        <f>+'[8]PRESUPUESTO GENERAL'!A181</f>
        <v>PRIMA DE VACACIONES</v>
      </c>
      <c r="O188" s="346"/>
    </row>
    <row r="189" spans="1:15" s="345" customFormat="1" ht="15">
      <c r="A189" s="341"/>
      <c r="B189" s="303" t="str">
        <f t="shared" si="6"/>
        <v>PRIMA TECNICA</v>
      </c>
      <c r="D189" s="360">
        <f>+'[8]IG 2015'!Y177</f>
        <v>1073895</v>
      </c>
      <c r="E189" s="343"/>
      <c r="F189" s="130">
        <v>406000</v>
      </c>
      <c r="G189" s="347"/>
      <c r="H189" s="338">
        <f t="shared" si="9"/>
        <v>6.092313494336039</v>
      </c>
      <c r="J189" s="342"/>
      <c r="L189" s="339">
        <f t="shared" si="7"/>
        <v>0.5888751903691348</v>
      </c>
      <c r="M189" s="326">
        <f>+'[8]PRESUPUESTO GENERAL'!Y182</f>
        <v>689450</v>
      </c>
      <c r="N189" s="312" t="str">
        <f>+'[8]PRESUPUESTO GENERAL'!A182</f>
        <v>PRIMA TECNICA</v>
      </c>
      <c r="O189" s="346"/>
    </row>
    <row r="190" spans="1:15" s="345" customFormat="1" ht="15">
      <c r="A190" s="341"/>
      <c r="B190" s="303" t="str">
        <f t="shared" si="6"/>
        <v>PROV.BONIFICACION</v>
      </c>
      <c r="D190" s="360">
        <f>+'[8]IG 2015'!Y178</f>
        <v>9235000</v>
      </c>
      <c r="E190" s="343"/>
      <c r="F190" s="351">
        <v>7616400</v>
      </c>
      <c r="G190" s="347"/>
      <c r="H190" s="338">
        <f t="shared" si="9"/>
        <v>3.196648619382783</v>
      </c>
      <c r="J190" s="342"/>
      <c r="L190" s="339">
        <f t="shared" si="7"/>
        <v>1.6877177121280613</v>
      </c>
      <c r="M190" s="326">
        <f>+'[8]PRESUPUESTO GENERAL'!Y183</f>
        <v>4512840</v>
      </c>
      <c r="N190" s="312" t="str">
        <f>+'[8]PRESUPUESTO GENERAL'!A183</f>
        <v>PROV.BONIFICACION</v>
      </c>
      <c r="O190" s="346"/>
    </row>
    <row r="191" spans="1:15" s="345" customFormat="1" ht="15">
      <c r="A191" s="341"/>
      <c r="B191" s="303" t="str">
        <f t="shared" si="6"/>
        <v>HONORARIOS</v>
      </c>
      <c r="D191" s="360">
        <f>+'[8]IG 2015'!Y179</f>
        <v>35642889</v>
      </c>
      <c r="E191" s="343"/>
      <c r="F191" s="367">
        <f>86756050-48000000</f>
        <v>38756050</v>
      </c>
      <c r="G191" s="347"/>
      <c r="H191" s="338">
        <f t="shared" si="9"/>
        <v>-1</v>
      </c>
      <c r="J191" s="342"/>
      <c r="L191" s="339">
        <f t="shared" si="7"/>
        <v>0.6428724864499488</v>
      </c>
      <c r="M191" s="326">
        <f>+'[8]PRESUPUESTO GENERAL'!Y184</f>
        <v>60285750</v>
      </c>
      <c r="N191" s="312" t="str">
        <f>+'[8]PRESUPUESTO GENERAL'!A184</f>
        <v>HONORARIOS</v>
      </c>
      <c r="O191" s="346"/>
    </row>
    <row r="192" spans="1:15" s="345" customFormat="1" ht="15">
      <c r="A192" s="341"/>
      <c r="B192" s="303" t="str">
        <f t="shared" si="6"/>
        <v>ARRENDAMIENTOS</v>
      </c>
      <c r="D192" s="360">
        <f>+'[8]IG 2015'!Y180</f>
        <v>0</v>
      </c>
      <c r="E192" s="343"/>
      <c r="F192" s="351"/>
      <c r="G192" s="347"/>
      <c r="H192" s="338" t="e">
        <f t="shared" si="9"/>
        <v>#DIV/0!</v>
      </c>
      <c r="J192" s="342"/>
      <c r="L192" s="339" t="e">
        <f t="shared" si="7"/>
        <v>#DIV/0!</v>
      </c>
      <c r="M192" s="326">
        <f>+'[8]PRESUPUESTO GENERAL'!Y185</f>
        <v>0</v>
      </c>
      <c r="N192" s="312" t="str">
        <f>+'[8]PRESUPUESTO GENERAL'!A185</f>
        <v>ARRENDAMIENTOS</v>
      </c>
      <c r="O192" s="346"/>
    </row>
    <row r="193" spans="1:15" s="345" customFormat="1" ht="15">
      <c r="A193" s="341"/>
      <c r="B193" s="303" t="str">
        <f t="shared" si="6"/>
        <v>SEGUROS</v>
      </c>
      <c r="D193" s="360">
        <f>+'[8]IG 2015'!Y181</f>
        <v>11075531</v>
      </c>
      <c r="E193" s="343"/>
      <c r="F193" s="367">
        <f>13175632+552619</f>
        <v>13728251</v>
      </c>
      <c r="G193" s="347"/>
      <c r="H193" s="338">
        <f t="shared" si="9"/>
        <v>-0.7913308174569689</v>
      </c>
      <c r="J193" s="342"/>
      <c r="L193" s="339">
        <f t="shared" si="7"/>
        <v>1.311649755407781</v>
      </c>
      <c r="M193" s="326">
        <f>+'[8]PRESUPUESTO GENERAL'!Y186</f>
        <v>10466400</v>
      </c>
      <c r="N193" s="312" t="str">
        <f>+'[8]PRESUPUESTO GENERAL'!A186</f>
        <v>SEGUROS</v>
      </c>
      <c r="O193" s="346"/>
    </row>
    <row r="194" spans="1:15" s="345" customFormat="1" ht="15">
      <c r="A194" s="341"/>
      <c r="B194" s="303" t="str">
        <f t="shared" si="6"/>
        <v>MANTENIMIENTO Y REPARACIONES</v>
      </c>
      <c r="D194" s="365">
        <f>+'[8]IG 2015'!Y182</f>
        <v>537070</v>
      </c>
      <c r="E194" s="343"/>
      <c r="F194" s="359">
        <v>2311122</v>
      </c>
      <c r="G194" s="347"/>
      <c r="H194" s="338">
        <f t="shared" si="9"/>
        <v>3.5244381551753032</v>
      </c>
      <c r="J194" s="342"/>
      <c r="L194" s="339">
        <f t="shared" si="7"/>
        <v>2.40741875</v>
      </c>
      <c r="M194" s="326">
        <f>+'[8]PRESUPUESTO GENERAL'!Y187</f>
        <v>960000</v>
      </c>
      <c r="N194" s="312" t="str">
        <f>+'[8]PRESUPUESTO GENERAL'!A187</f>
        <v>MANTENIMIENTO Y REPARACIONES</v>
      </c>
      <c r="O194" s="346"/>
    </row>
    <row r="195" spans="1:15" s="345" customFormat="1" ht="15">
      <c r="A195" s="341"/>
      <c r="B195" s="303" t="str">
        <f t="shared" si="6"/>
        <v>REPARACIONES LOCATIVAS</v>
      </c>
      <c r="D195" s="365">
        <f>+'[8]IG 2015'!Y183</f>
        <v>370212</v>
      </c>
      <c r="E195" s="355"/>
      <c r="F195" s="359">
        <v>2429940</v>
      </c>
      <c r="G195" s="347"/>
      <c r="H195" s="338">
        <f t="shared" si="8"/>
        <v>5.563644614437133</v>
      </c>
      <c r="J195" s="342"/>
      <c r="L195" s="339">
        <f t="shared" si="7"/>
        <v>4.0499</v>
      </c>
      <c r="M195" s="326">
        <f>+'[8]PRESUPUESTO GENERAL'!Y188</f>
        <v>600000</v>
      </c>
      <c r="N195" s="312" t="str">
        <f>+'[8]PRESUPUESTO GENERAL'!A188</f>
        <v>REPARACIONES LOCATIVAS</v>
      </c>
      <c r="O195" s="346"/>
    </row>
    <row r="196" spans="1:15" s="345" customFormat="1" ht="15">
      <c r="A196" s="341"/>
      <c r="B196" s="303" t="str">
        <f t="shared" si="6"/>
        <v>ELEMENTOS DE ASEO Y CAFETERIA</v>
      </c>
      <c r="D196" s="365">
        <f>+'[8]IG 2015'!Y184</f>
        <v>7216000</v>
      </c>
      <c r="E196" s="343"/>
      <c r="F196" s="359">
        <v>7485956</v>
      </c>
      <c r="G196" s="347"/>
      <c r="H196" s="338">
        <f t="shared" si="8"/>
        <v>0.03741075388026607</v>
      </c>
      <c r="J196" s="342"/>
      <c r="L196" s="339">
        <f t="shared" si="7"/>
        <v>1.1342357575757576</v>
      </c>
      <c r="M196" s="326">
        <f>+'[8]PRESUPUESTO GENERAL'!Y189</f>
        <v>6600000</v>
      </c>
      <c r="N196" s="312" t="str">
        <f>+'[8]PRESUPUESTO GENERAL'!A189</f>
        <v>ELEMENTOS DE ASEO Y CAFETERIA</v>
      </c>
      <c r="O196" s="346"/>
    </row>
    <row r="197" spans="1:15" s="345" customFormat="1" ht="15">
      <c r="A197" s="341"/>
      <c r="B197" s="303" t="str">
        <f t="shared" si="6"/>
        <v>CAFETERIA</v>
      </c>
      <c r="D197" s="365">
        <f>+'[8]IG 2015'!Y185</f>
        <v>4554111</v>
      </c>
      <c r="E197" s="355"/>
      <c r="F197" s="359">
        <v>5500806</v>
      </c>
      <c r="G197" s="347"/>
      <c r="H197" s="338">
        <f t="shared" si="8"/>
        <v>0.20787701485536914</v>
      </c>
      <c r="J197" s="342"/>
      <c r="L197" s="339">
        <f t="shared" si="7"/>
        <v>1.2063171052631578</v>
      </c>
      <c r="M197" s="326">
        <f>+'[8]PRESUPUESTO GENERAL'!Y190</f>
        <v>4560000</v>
      </c>
      <c r="N197" s="312" t="str">
        <f>+'[8]PRESUPUESTO GENERAL'!A190</f>
        <v>CAFETERIA</v>
      </c>
      <c r="O197" s="346"/>
    </row>
    <row r="198" spans="1:15" s="345" customFormat="1" ht="15">
      <c r="A198" s="341"/>
      <c r="B198" s="303" t="str">
        <f t="shared" si="6"/>
        <v>ACUEDUCTO Y ALCANTARILLADO</v>
      </c>
      <c r="D198" s="365">
        <f>+'[8]IG 2015'!Y186</f>
        <v>426400</v>
      </c>
      <c r="E198" s="355"/>
      <c r="F198" s="359">
        <v>571200</v>
      </c>
      <c r="G198" s="132"/>
      <c r="H198" s="338">
        <f>+(F199-D198)/D198</f>
        <v>7.121751876172608</v>
      </c>
      <c r="J198" s="342"/>
      <c r="L198" s="339">
        <f>+F199/M198</f>
        <v>7.214822916666667</v>
      </c>
      <c r="M198" s="326">
        <f>+'[8]PRESUPUESTO GENERAL'!Y191</f>
        <v>480000</v>
      </c>
      <c r="N198" s="312" t="str">
        <f>+'[8]PRESUPUESTO GENERAL'!A191</f>
        <v>ACUEDUCTO Y ALCANTARILLADO</v>
      </c>
      <c r="O198" s="346"/>
    </row>
    <row r="199" spans="1:15" s="345" customFormat="1" ht="15">
      <c r="A199" s="341"/>
      <c r="B199" s="303" t="str">
        <f t="shared" si="6"/>
        <v>ENERGIA ELECTRICA</v>
      </c>
      <c r="D199" s="365">
        <f>+'[8]IG 2015'!Y187</f>
        <v>4449306</v>
      </c>
      <c r="E199" s="355"/>
      <c r="F199" s="359">
        <v>3463115</v>
      </c>
      <c r="G199" s="132"/>
      <c r="H199" s="338">
        <f>+(F200-D199)/D199</f>
        <v>-0.8380309198782911</v>
      </c>
      <c r="J199" s="342"/>
      <c r="L199" s="339">
        <f>+F200/M199</f>
        <v>0.15803728070175438</v>
      </c>
      <c r="M199" s="326">
        <f>+'[8]PRESUPUESTO GENERAL'!Y192</f>
        <v>4560000</v>
      </c>
      <c r="N199" s="312" t="str">
        <f>+'[8]PRESUPUESTO GENERAL'!A192</f>
        <v>ENERGIA ELECTRICA</v>
      </c>
      <c r="O199" s="346"/>
    </row>
    <row r="200" spans="1:15" s="345" customFormat="1" ht="15">
      <c r="A200" s="341"/>
      <c r="B200" s="303" t="str">
        <f t="shared" si="6"/>
        <v>TELEFONO</v>
      </c>
      <c r="D200" s="365">
        <f>+'[8]IG 2015'!Y188</f>
        <v>2126429</v>
      </c>
      <c r="E200" s="355"/>
      <c r="F200" s="359">
        <v>720650</v>
      </c>
      <c r="G200" s="132"/>
      <c r="H200" s="338">
        <f>+(F201-D200)/D200</f>
        <v>2.2186727137374445</v>
      </c>
      <c r="J200" s="342"/>
      <c r="L200" s="339">
        <f>+F201/M200</f>
        <v>4.016595657276995</v>
      </c>
      <c r="M200" s="326">
        <f>+'[8]PRESUPUESTO GENERAL'!Y193</f>
        <v>1704000</v>
      </c>
      <c r="N200" s="312" t="str">
        <f>+'[8]PRESUPUESTO GENERAL'!A193</f>
        <v>TELEFONO</v>
      </c>
      <c r="O200" s="346"/>
    </row>
    <row r="201" spans="1:15" s="345" customFormat="1" ht="15">
      <c r="A201" s="341"/>
      <c r="B201" s="303" t="str">
        <f t="shared" si="6"/>
        <v>CELULAR</v>
      </c>
      <c r="D201" s="365">
        <f>+'[8]IG 2015'!Y189</f>
        <v>5228218</v>
      </c>
      <c r="E201" s="131"/>
      <c r="F201" s="359">
        <v>6844279</v>
      </c>
      <c r="G201" s="132"/>
      <c r="H201" s="338">
        <f t="shared" si="8"/>
        <v>0.3091035989700506</v>
      </c>
      <c r="J201" s="342"/>
      <c r="L201" s="339">
        <f aca="true" t="shared" si="11" ref="L201:L254">+F201/M201</f>
        <v>0.9274090785907859</v>
      </c>
      <c r="M201" s="326">
        <f>+'[8]PRESUPUESTO GENERAL'!Y194</f>
        <v>7380000</v>
      </c>
      <c r="N201" s="312" t="str">
        <f>+'[8]PRESUPUESTO GENERAL'!A194</f>
        <v>CELULAR</v>
      </c>
      <c r="O201" s="346"/>
    </row>
    <row r="202" spans="1:15" s="345" customFormat="1" ht="15">
      <c r="A202" s="341"/>
      <c r="B202" s="303" t="str">
        <f aca="true" t="shared" si="12" ref="B202:B254">+N202</f>
        <v>CORREO, PORTES Y TELEGRAMAS</v>
      </c>
      <c r="D202" s="365">
        <f>+'[8]IG 2015'!Y190</f>
        <v>20700</v>
      </c>
      <c r="E202" s="131"/>
      <c r="F202" s="366">
        <v>250800</v>
      </c>
      <c r="G202" s="132"/>
      <c r="H202" s="338">
        <f t="shared" si="8"/>
        <v>11.115942028985508</v>
      </c>
      <c r="J202" s="342"/>
      <c r="L202" s="339">
        <f t="shared" si="11"/>
        <v>0.5971428571428572</v>
      </c>
      <c r="M202" s="326">
        <f>+'[8]PRESUPUESTO GENERAL'!Y195</f>
        <v>420000</v>
      </c>
      <c r="N202" s="312" t="str">
        <f>+'[8]PRESUPUESTO GENERAL'!A195</f>
        <v>CORREO, PORTES Y TELEGRAMAS</v>
      </c>
      <c r="O202" s="346"/>
    </row>
    <row r="203" spans="1:15" s="345" customFormat="1" ht="15">
      <c r="A203" s="341"/>
      <c r="B203" s="303" t="str">
        <f t="shared" si="12"/>
        <v>INTERNET</v>
      </c>
      <c r="D203" s="365">
        <f>+'[8]IG 2015'!Y191</f>
        <v>520650</v>
      </c>
      <c r="E203" s="343"/>
      <c r="F203" s="367">
        <v>1341485</v>
      </c>
      <c r="G203" s="132"/>
      <c r="H203" s="338">
        <f t="shared" si="8"/>
        <v>1.576558148468261</v>
      </c>
      <c r="J203" s="342"/>
      <c r="L203" s="339">
        <f t="shared" si="11"/>
        <v>1.9962574404761906</v>
      </c>
      <c r="M203" s="326">
        <f>+'[8]PRESUPUESTO GENERAL'!Y196</f>
        <v>672000</v>
      </c>
      <c r="N203" s="312" t="str">
        <f>+'[8]PRESUPUESTO GENERAL'!A196</f>
        <v>INTERNET</v>
      </c>
      <c r="O203" s="346"/>
    </row>
    <row r="204" spans="1:15" s="345" customFormat="1" ht="15">
      <c r="A204" s="341"/>
      <c r="B204" s="303" t="str">
        <f t="shared" si="12"/>
        <v>UTILES, PAPELERIA</v>
      </c>
      <c r="D204" s="365">
        <f>+'[8]IG 2015'!Y192</f>
        <v>3775387</v>
      </c>
      <c r="E204" s="131"/>
      <c r="F204" s="351">
        <v>4917316</v>
      </c>
      <c r="G204" s="347"/>
      <c r="H204" s="338">
        <f t="shared" si="8"/>
        <v>0.30246674049574257</v>
      </c>
      <c r="J204" s="342"/>
      <c r="L204" s="339">
        <f t="shared" si="11"/>
        <v>2.7318422222222223</v>
      </c>
      <c r="M204" s="326">
        <f>+'[8]PRESUPUESTO GENERAL'!Y197</f>
        <v>1800000</v>
      </c>
      <c r="N204" s="312" t="str">
        <f>+'[8]PRESUPUESTO GENERAL'!A197</f>
        <v>UTILES, PAPELERIA</v>
      </c>
      <c r="O204" s="346"/>
    </row>
    <row r="205" spans="1:15" s="345" customFormat="1" ht="15">
      <c r="A205" s="341"/>
      <c r="B205" s="303" t="str">
        <f t="shared" si="12"/>
        <v>FOTOCOPIAS</v>
      </c>
      <c r="D205" s="365">
        <f>+'[8]IG 2015'!Y193</f>
        <v>1121900</v>
      </c>
      <c r="E205" s="131"/>
      <c r="F205" s="351">
        <v>2251488</v>
      </c>
      <c r="G205" s="132"/>
      <c r="H205" s="338">
        <f aca="true" t="shared" si="13" ref="H205:H254">+(F205-D205)/D205</f>
        <v>1.0068526606649435</v>
      </c>
      <c r="J205" s="342"/>
      <c r="L205" s="339">
        <f t="shared" si="11"/>
        <v>1.786895238095238</v>
      </c>
      <c r="M205" s="326">
        <f>+'[8]PRESUPUESTO GENERAL'!Y198</f>
        <v>1260000</v>
      </c>
      <c r="N205" s="312" t="str">
        <f>+'[8]PRESUPUESTO GENERAL'!A198</f>
        <v>FOTOCOPIAS</v>
      </c>
      <c r="O205" s="346"/>
    </row>
    <row r="206" spans="1:15" s="345" customFormat="1" ht="15">
      <c r="A206" s="341"/>
      <c r="B206" s="303" t="str">
        <f t="shared" si="12"/>
        <v>PUBLICIDAD Y PROPAGANDA</v>
      </c>
      <c r="D206" s="365">
        <f>+'[8]IG 2015'!Y194</f>
        <v>337000</v>
      </c>
      <c r="E206" s="131"/>
      <c r="F206" s="351">
        <v>3190981</v>
      </c>
      <c r="G206" s="132"/>
      <c r="H206" s="338">
        <f t="shared" si="13"/>
        <v>8.468786350148369</v>
      </c>
      <c r="J206" s="342"/>
      <c r="L206" s="339">
        <f t="shared" si="11"/>
        <v>8.86383611111111</v>
      </c>
      <c r="M206" s="326">
        <f>+'[8]PRESUPUESTO GENERAL'!Y199</f>
        <v>360000</v>
      </c>
      <c r="N206" s="312" t="str">
        <f>+'[8]PRESUPUESTO GENERAL'!A199</f>
        <v>PUBLICIDAD Y PROPAGANDA</v>
      </c>
      <c r="O206" s="346"/>
    </row>
    <row r="207" spans="1:15" s="345" customFormat="1" ht="15">
      <c r="A207" s="341"/>
      <c r="B207" s="303" t="str">
        <f t="shared" si="12"/>
        <v>FLETES Y ACARREOS</v>
      </c>
      <c r="D207" s="365">
        <f>+'[8]IG 2015'!Y195</f>
        <v>865275</v>
      </c>
      <c r="E207" s="131"/>
      <c r="F207" s="351"/>
      <c r="G207" s="347"/>
      <c r="H207" s="338">
        <f t="shared" si="13"/>
        <v>-1</v>
      </c>
      <c r="J207" s="342"/>
      <c r="L207" s="339">
        <f t="shared" si="11"/>
        <v>0</v>
      </c>
      <c r="M207" s="326">
        <f>+'[8]PRESUPUESTO GENERAL'!Y200</f>
        <v>120000</v>
      </c>
      <c r="N207" s="312" t="str">
        <f>+'[8]PRESUPUESTO GENERAL'!A200</f>
        <v>FLETES Y ACARREOS</v>
      </c>
      <c r="O207" s="346"/>
    </row>
    <row r="208" spans="1:22" s="345" customFormat="1" ht="15">
      <c r="A208" s="341"/>
      <c r="B208" s="303" t="str">
        <f t="shared" si="12"/>
        <v>CONTRIBUCIONES Y AFILIACIONES</v>
      </c>
      <c r="D208" s="365">
        <f>+'[8]IG 2015'!Y196</f>
        <v>1191200</v>
      </c>
      <c r="E208" s="131"/>
      <c r="F208" s="349">
        <v>653000</v>
      </c>
      <c r="G208" s="132"/>
      <c r="H208" s="338">
        <f t="shared" si="13"/>
        <v>-0.4518132975151108</v>
      </c>
      <c r="J208" s="342"/>
      <c r="L208" s="339">
        <f t="shared" si="11"/>
        <v>0.5441666666666667</v>
      </c>
      <c r="M208" s="326">
        <f>+'[8]PRESUPUESTO GENERAL'!Y201</f>
        <v>1200000</v>
      </c>
      <c r="N208" s="312" t="str">
        <f>+'[8]PRESUPUESTO GENERAL'!A201</f>
        <v>CONTRIBUCIONES Y AFILIACIONES</v>
      </c>
      <c r="O208" s="346"/>
      <c r="V208" s="345">
        <f>48/2</f>
        <v>24</v>
      </c>
    </row>
    <row r="209" spans="1:15" s="345" customFormat="1" ht="15">
      <c r="A209" s="341"/>
      <c r="B209" s="303" t="str">
        <f t="shared" si="12"/>
        <v>GASTOS ASAMBLEA</v>
      </c>
      <c r="D209" s="365">
        <f>+'[8]IG 2015'!Y197</f>
        <v>4393476</v>
      </c>
      <c r="E209" s="131"/>
      <c r="F209" s="349">
        <v>2603462</v>
      </c>
      <c r="G209" s="132"/>
      <c r="H209" s="338">
        <f t="shared" si="13"/>
        <v>-0.4074254644841579</v>
      </c>
      <c r="J209" s="342"/>
      <c r="L209" s="339">
        <f t="shared" si="11"/>
        <v>0.6054562790697674</v>
      </c>
      <c r="M209" s="326">
        <f>+'[8]PRESUPUESTO GENERAL'!Y202</f>
        <v>4300000</v>
      </c>
      <c r="N209" s="312" t="str">
        <f>+'[8]PRESUPUESTO GENERAL'!A202</f>
        <v>GASTOS ASAMBLEA</v>
      </c>
      <c r="O209" s="346"/>
    </row>
    <row r="210" spans="1:15" s="345" customFormat="1" ht="15">
      <c r="A210" s="341"/>
      <c r="B210" s="303" t="str">
        <f t="shared" si="12"/>
        <v>GASTOS DIRECTIVOS</v>
      </c>
      <c r="D210" s="365">
        <f>+'[8]IG 2015'!Y198</f>
        <v>38065051</v>
      </c>
      <c r="E210" s="131"/>
      <c r="F210" s="351">
        <v>36671855</v>
      </c>
      <c r="G210" s="347"/>
      <c r="H210" s="338">
        <f t="shared" si="13"/>
        <v>-0.036600397566786395</v>
      </c>
      <c r="J210" s="342"/>
      <c r="L210" s="339">
        <f t="shared" si="11"/>
        <v>1.3890854166666666</v>
      </c>
      <c r="M210" s="326">
        <f>+'[8]PRESUPUESTO GENERAL'!Y203</f>
        <v>26400000</v>
      </c>
      <c r="N210" s="312" t="str">
        <f>+'[8]PRESUPUESTO GENERAL'!A203</f>
        <v>GASTOS DIRECTIVOS</v>
      </c>
      <c r="O210" s="346"/>
    </row>
    <row r="211" spans="1:15" s="345" customFormat="1" ht="15">
      <c r="A211" s="341"/>
      <c r="B211" s="303" t="str">
        <f t="shared" si="12"/>
        <v>GASTOS LEGALES</v>
      </c>
      <c r="D211" s="365">
        <f>+'[8]IG 2015'!Y199</f>
        <v>4202103</v>
      </c>
      <c r="E211" s="355"/>
      <c r="F211" s="349">
        <v>7419838</v>
      </c>
      <c r="G211" s="132"/>
      <c r="H211" s="338">
        <f t="shared" si="13"/>
        <v>0.7657439620114024</v>
      </c>
      <c r="J211" s="342"/>
      <c r="L211" s="339">
        <f t="shared" si="11"/>
        <v>6.183198333333333</v>
      </c>
      <c r="M211" s="326">
        <f>+'[8]PRESUPUESTO GENERAL'!Y204</f>
        <v>1200000</v>
      </c>
      <c r="N211" s="312" t="str">
        <f>+'[8]PRESUPUESTO GENERAL'!A204</f>
        <v>GASTOS LEGALES</v>
      </c>
      <c r="O211" s="346"/>
    </row>
    <row r="212" spans="1:15" s="345" customFormat="1" ht="15">
      <c r="A212" s="341"/>
      <c r="B212" s="303" t="str">
        <f t="shared" si="12"/>
        <v>GASTOS DE VIAJE</v>
      </c>
      <c r="D212" s="365">
        <f>+'[8]IG 2015'!Y200</f>
        <v>30373518.44</v>
      </c>
      <c r="E212" s="355"/>
      <c r="F212" s="349">
        <f>31631285+4137595</f>
        <v>35768880</v>
      </c>
      <c r="G212" s="132"/>
      <c r="H212" s="338">
        <f t="shared" si="13"/>
        <v>0.17763373613294167</v>
      </c>
      <c r="J212" s="342"/>
      <c r="L212" s="339">
        <f t="shared" si="11"/>
        <v>0.9772918032786885</v>
      </c>
      <c r="M212" s="326">
        <f>+'[8]PRESUPUESTO GENERAL'!Y205</f>
        <v>36600000</v>
      </c>
      <c r="N212" s="312" t="str">
        <f>+'[8]PRESUPUESTO GENERAL'!A205</f>
        <v>GASTOS DE VIAJE</v>
      </c>
      <c r="O212" s="346"/>
    </row>
    <row r="213" spans="1:15" s="345" customFormat="1" ht="15">
      <c r="A213" s="341"/>
      <c r="B213" s="303" t="s">
        <v>546</v>
      </c>
      <c r="D213" s="365">
        <f>+'[8]IG 2015'!Y201</f>
        <v>8082000</v>
      </c>
      <c r="E213" s="355"/>
      <c r="F213" s="349">
        <f>20128000-12000000</f>
        <v>8128000</v>
      </c>
      <c r="G213" s="132"/>
      <c r="H213" s="338">
        <f t="shared" si="13"/>
        <v>0.0056916604800791885</v>
      </c>
      <c r="J213" s="342"/>
      <c r="L213" s="339">
        <f t="shared" si="11"/>
        <v>13.546666666666667</v>
      </c>
      <c r="M213" s="326">
        <f>+'[8]PRESUPUESTO GENERAL'!Y206</f>
        <v>600000</v>
      </c>
      <c r="N213" s="312" t="str">
        <f>+'[8]PRESUPUESTO GENERAL'!A206</f>
        <v>SISTEMATIZACION</v>
      </c>
      <c r="O213" s="346"/>
    </row>
    <row r="214" spans="1:15" s="345" customFormat="1" ht="15">
      <c r="A214" s="341"/>
      <c r="B214" s="303" t="str">
        <f t="shared" si="12"/>
        <v>VIGILACION PRIVADA</v>
      </c>
      <c r="D214" s="365">
        <f>+'[8]IG 2015'!Y202</f>
        <v>1134136</v>
      </c>
      <c r="E214" s="355"/>
      <c r="F214" s="349">
        <v>1152761</v>
      </c>
      <c r="G214" s="132"/>
      <c r="H214" s="338">
        <f t="shared" si="13"/>
        <v>0.01642219275289736</v>
      </c>
      <c r="J214" s="342"/>
      <c r="L214" s="339">
        <f t="shared" si="11"/>
        <v>0.9148896825396825</v>
      </c>
      <c r="M214" s="326">
        <f>+'[8]PRESUPUESTO GENERAL'!Y207</f>
        <v>1260000</v>
      </c>
      <c r="N214" s="312" t="str">
        <f>+'[8]PRESUPUESTO GENERAL'!A207</f>
        <v>VIGILACION PRIVADA</v>
      </c>
      <c r="O214" s="346"/>
    </row>
    <row r="215" spans="1:15" s="345" customFormat="1" ht="15">
      <c r="A215" s="341"/>
      <c r="B215" s="303" t="str">
        <f t="shared" si="12"/>
        <v>SUSCRIPCIONES</v>
      </c>
      <c r="D215" s="365">
        <f>+'[8]IG 2015'!Y203</f>
        <v>0</v>
      </c>
      <c r="E215" s="355"/>
      <c r="F215" s="351">
        <v>1059565</v>
      </c>
      <c r="G215" s="132"/>
      <c r="H215" s="338" t="e">
        <f t="shared" si="13"/>
        <v>#DIV/0!</v>
      </c>
      <c r="J215" s="342"/>
      <c r="L215" s="339" t="e">
        <f t="shared" si="11"/>
        <v>#DIV/0!</v>
      </c>
      <c r="M215" s="326">
        <f>+'[8]PRESUPUESTO GENERAL'!Y208</f>
        <v>0</v>
      </c>
      <c r="N215" s="312" t="str">
        <f>+'[8]PRESUPUESTO GENERAL'!A208</f>
        <v>SUSCRIPCIONES</v>
      </c>
      <c r="O215" s="346"/>
    </row>
    <row r="216" spans="1:15" s="345" customFormat="1" ht="15">
      <c r="A216" s="341"/>
      <c r="B216" s="303" t="str">
        <f t="shared" si="12"/>
        <v>AUXILIOS Y DONACIONES</v>
      </c>
      <c r="D216" s="365">
        <f>+'[8]IG 2015'!Y204</f>
        <v>0</v>
      </c>
      <c r="E216" s="355"/>
      <c r="F216" s="368">
        <v>0</v>
      </c>
      <c r="G216" s="132"/>
      <c r="H216" s="338" t="e">
        <f t="shared" si="13"/>
        <v>#DIV/0!</v>
      </c>
      <c r="J216" s="342"/>
      <c r="L216" s="339">
        <f t="shared" si="11"/>
        <v>0</v>
      </c>
      <c r="M216" s="326">
        <f>+'[8]PRESUPUESTO GENERAL'!Y209</f>
        <v>60000</v>
      </c>
      <c r="N216" s="312" t="str">
        <f>+'[8]PRESUPUESTO GENERAL'!A209</f>
        <v>AUXILIOS Y DONACIONES</v>
      </c>
      <c r="O216" s="346"/>
    </row>
    <row r="217" spans="1:15" s="328" customFormat="1" ht="16.5" customHeight="1">
      <c r="A217" s="341"/>
      <c r="B217" s="303" t="str">
        <f t="shared" si="12"/>
        <v>GASTOS FONDO EDUCACION</v>
      </c>
      <c r="C217" s="345"/>
      <c r="D217" s="365">
        <f>+'[8]IG 2015'!Y205</f>
        <v>8475931</v>
      </c>
      <c r="E217" s="330"/>
      <c r="F217" s="351">
        <v>0</v>
      </c>
      <c r="G217" s="332"/>
      <c r="H217" s="338">
        <f t="shared" si="13"/>
        <v>-1</v>
      </c>
      <c r="J217" s="342"/>
      <c r="L217" s="339">
        <f t="shared" si="11"/>
        <v>0</v>
      </c>
      <c r="M217" s="326">
        <f>+'[8]PRESUPUESTO GENERAL'!Y210</f>
        <v>3000000</v>
      </c>
      <c r="N217" s="312" t="str">
        <f>+'[8]PRESUPUESTO GENERAL'!A210</f>
        <v>GASTOS FONDO EDUCACION</v>
      </c>
      <c r="O217" s="346"/>
    </row>
    <row r="218" spans="1:15" s="345" customFormat="1" ht="15">
      <c r="A218" s="341"/>
      <c r="B218" s="303" t="str">
        <f t="shared" si="12"/>
        <v>FONDO SOLIDARIDAD</v>
      </c>
      <c r="D218" s="365">
        <f>+'[8]IG 2015'!Y206</f>
        <v>0</v>
      </c>
      <c r="E218" s="131"/>
      <c r="F218" s="351">
        <v>0</v>
      </c>
      <c r="G218" s="132"/>
      <c r="H218" s="338" t="e">
        <f t="shared" si="13"/>
        <v>#DIV/0!</v>
      </c>
      <c r="J218" s="342"/>
      <c r="L218" s="339" t="e">
        <f t="shared" si="11"/>
        <v>#DIV/0!</v>
      </c>
      <c r="M218" s="326">
        <f>+'[8]PRESUPUESTO GENERAL'!Y211</f>
        <v>0</v>
      </c>
      <c r="N218" s="312" t="str">
        <f>+'[8]PRESUPUESTO GENERAL'!A211</f>
        <v>FONDO SOLIDARIDAD</v>
      </c>
      <c r="O218" s="346"/>
    </row>
    <row r="219" spans="1:15" s="345" customFormat="1" ht="15">
      <c r="A219" s="341"/>
      <c r="B219" s="303" t="str">
        <f t="shared" si="12"/>
        <v>GASTOS VARIOS</v>
      </c>
      <c r="D219" s="365">
        <f>+'[8]IG 2015'!Y207</f>
        <v>47144387.87</v>
      </c>
      <c r="E219" s="355"/>
      <c r="F219" s="349">
        <f>620770+264000+38017441+923038.97-50623.96+68731</f>
        <v>39843357.01</v>
      </c>
      <c r="G219" s="132"/>
      <c r="H219" s="338">
        <f t="shared" si="13"/>
        <v>-0.15486532310340928</v>
      </c>
      <c r="J219" s="342"/>
      <c r="L219" s="339">
        <f t="shared" si="11"/>
        <v>1.2529357550314464</v>
      </c>
      <c r="M219" s="326">
        <f>+'[8]PRESUPUESTO GENERAL'!Y212</f>
        <v>31800000</v>
      </c>
      <c r="N219" s="312" t="str">
        <f>+'[8]PRESUPUESTO GENERAL'!A212</f>
        <v>GASTOS VARIOS</v>
      </c>
      <c r="O219" s="346"/>
    </row>
    <row r="220" spans="1:15" s="345" customFormat="1" ht="15">
      <c r="A220" s="327"/>
      <c r="B220" s="303" t="str">
        <f t="shared" si="12"/>
        <v>DEPRECIACION</v>
      </c>
      <c r="C220" s="330"/>
      <c r="D220" s="365">
        <f>+'[8]IG 2015'!Y208-3832195.5</f>
        <v>3145606.5</v>
      </c>
      <c r="E220" s="364"/>
      <c r="F220" s="130">
        <v>2835897.15</v>
      </c>
      <c r="G220" s="330"/>
      <c r="H220" s="338">
        <f t="shared" si="13"/>
        <v>-0.09845775369551153</v>
      </c>
      <c r="I220" s="328"/>
      <c r="J220" s="333"/>
      <c r="K220" s="328"/>
      <c r="L220" s="339">
        <f t="shared" si="11"/>
        <v>0.38593086061892706</v>
      </c>
      <c r="M220" s="326">
        <f>+'[8]PRESUPUESTO GENERAL'!Y213</f>
        <v>7348200</v>
      </c>
      <c r="N220" s="312" t="str">
        <f>+'[8]PRESUPUESTO GENERAL'!A213</f>
        <v>DEPRECIACION</v>
      </c>
      <c r="O220" s="340"/>
    </row>
    <row r="221" spans="1:15" s="345" customFormat="1" ht="15">
      <c r="A221" s="341"/>
      <c r="B221" s="303" t="str">
        <f t="shared" si="12"/>
        <v>A LA PROPIEDAD RAIZ</v>
      </c>
      <c r="D221" s="365">
        <f>+'[8]IG 2015'!Y209</f>
        <v>944380</v>
      </c>
      <c r="E221" s="343"/>
      <c r="F221" s="368">
        <v>972708</v>
      </c>
      <c r="G221" s="132"/>
      <c r="H221" s="338">
        <f t="shared" si="13"/>
        <v>0.029996399754336177</v>
      </c>
      <c r="J221" s="342"/>
      <c r="L221" s="339">
        <f t="shared" si="11"/>
        <v>1.0239031578947368</v>
      </c>
      <c r="M221" s="326">
        <f>+'[8]PRESUPUESTO GENERAL'!Y214</f>
        <v>950000</v>
      </c>
      <c r="N221" s="312" t="str">
        <f>+'[8]PRESUPUESTO GENERAL'!A214</f>
        <v>A LA PROPIEDAD RAIZ</v>
      </c>
      <c r="O221" s="346"/>
    </row>
    <row r="222" spans="1:15" s="345" customFormat="1" ht="15">
      <c r="A222" s="341"/>
      <c r="B222" s="303" t="str">
        <f t="shared" si="12"/>
        <v>IMPLEMENTACION NIIF</v>
      </c>
      <c r="D222" s="365">
        <f>+'[8]IG 2015'!Y210</f>
        <v>3681608</v>
      </c>
      <c r="E222" s="131"/>
      <c r="F222" s="359">
        <v>215517</v>
      </c>
      <c r="G222" s="132"/>
      <c r="H222" s="338">
        <f t="shared" si="13"/>
        <v>-0.9414611767466824</v>
      </c>
      <c r="J222" s="342"/>
      <c r="L222" s="339">
        <f t="shared" si="11"/>
        <v>0.5986583333333333</v>
      </c>
      <c r="M222" s="326">
        <f>+'[8]PRESUPUESTO GENERAL'!Y215</f>
        <v>360000</v>
      </c>
      <c r="N222" s="312" t="str">
        <f>+'[8]PRESUPUESTO GENERAL'!A215</f>
        <v>IMPLEMENTACION NIIF</v>
      </c>
      <c r="O222" s="346"/>
    </row>
    <row r="223" spans="1:15" s="328" customFormat="1" ht="15">
      <c r="A223" s="341"/>
      <c r="B223" s="303" t="s">
        <v>318</v>
      </c>
      <c r="C223" s="345"/>
      <c r="D223" s="365">
        <f>+'[8]IG 2015'!Y211+'[8]IG 2015'!Y213</f>
        <v>76979312</v>
      </c>
      <c r="E223" s="330"/>
      <c r="F223" s="344">
        <f>86005209+12000000+20824660</f>
        <v>118829869</v>
      </c>
      <c r="G223" s="332"/>
      <c r="H223" s="338">
        <f t="shared" si="13"/>
        <v>0.5436597952447275</v>
      </c>
      <c r="J223" s="342"/>
      <c r="L223" s="339" t="e">
        <f t="shared" si="11"/>
        <v>#DIV/0!</v>
      </c>
      <c r="M223" s="326">
        <f>+'[8]PRESUPUESTO GENERAL'!Y216</f>
        <v>0</v>
      </c>
      <c r="N223" s="312" t="s">
        <v>318</v>
      </c>
      <c r="O223" s="346"/>
    </row>
    <row r="224" spans="1:15" s="328" customFormat="1" ht="15">
      <c r="A224" s="341"/>
      <c r="B224" s="303" t="str">
        <f t="shared" si="12"/>
        <v>PROVISIONES VARIAS</v>
      </c>
      <c r="C224" s="345"/>
      <c r="D224" s="365">
        <f>+'[8]IG 2015'!Y212</f>
        <v>29532071</v>
      </c>
      <c r="E224" s="330"/>
      <c r="F224" s="130">
        <v>162690874.66</v>
      </c>
      <c r="G224" s="332"/>
      <c r="H224" s="338">
        <f t="shared" si="13"/>
        <v>4.508955828394154</v>
      </c>
      <c r="J224" s="342"/>
      <c r="L224" s="339">
        <f t="shared" si="11"/>
        <v>5.005873066461539</v>
      </c>
      <c r="M224" s="326">
        <f>+'[8]PRESUPUESTO GENERAL'!Y217</f>
        <v>32499999.999999996</v>
      </c>
      <c r="N224" s="312" t="str">
        <f>+'[8]PRESUPUESTO GENERAL'!A217</f>
        <v>PROVISIONES VARIAS</v>
      </c>
      <c r="O224" s="346"/>
    </row>
    <row r="225" spans="1:15" s="328" customFormat="1" ht="15">
      <c r="A225" s="341"/>
      <c r="B225" s="303">
        <f t="shared" si="12"/>
        <v>0</v>
      </c>
      <c r="C225" s="345"/>
      <c r="D225" s="329"/>
      <c r="E225" s="330"/>
      <c r="F225" s="331"/>
      <c r="G225" s="332"/>
      <c r="H225" s="338" t="e">
        <f t="shared" si="13"/>
        <v>#DIV/0!</v>
      </c>
      <c r="J225" s="342"/>
      <c r="L225" s="339" t="e">
        <f t="shared" si="11"/>
        <v>#DIV/0!</v>
      </c>
      <c r="M225" s="326">
        <f>+'[8]PRESUPUESTO GENERAL'!Y218</f>
        <v>0</v>
      </c>
      <c r="N225" s="312">
        <f>+'[8]PRESUPUESTO GENERAL'!A218</f>
        <v>0</v>
      </c>
      <c r="O225" s="346"/>
    </row>
    <row r="226" spans="1:15" s="345" customFormat="1" ht="15">
      <c r="A226" s="327"/>
      <c r="B226" s="303">
        <f t="shared" si="12"/>
        <v>0</v>
      </c>
      <c r="C226" s="330"/>
      <c r="D226" s="329"/>
      <c r="E226" s="330"/>
      <c r="F226" s="358"/>
      <c r="G226" s="330"/>
      <c r="H226" s="338" t="e">
        <f t="shared" si="13"/>
        <v>#DIV/0!</v>
      </c>
      <c r="I226" s="328"/>
      <c r="J226" s="333"/>
      <c r="K226" s="328"/>
      <c r="L226" s="339" t="e">
        <f t="shared" si="11"/>
        <v>#DIV/0!</v>
      </c>
      <c r="M226" s="326">
        <f>+'[8]PRESUPUESTO GENERAL'!Y219</f>
        <v>0</v>
      </c>
      <c r="N226" s="312">
        <f>+'[8]PRESUPUESTO GENERAL'!A219</f>
        <v>0</v>
      </c>
      <c r="O226" s="340"/>
    </row>
    <row r="227" spans="1:15" s="345" customFormat="1" ht="15">
      <c r="A227" s="327"/>
      <c r="B227" s="303" t="str">
        <f t="shared" si="12"/>
        <v>OTROS GASTOS</v>
      </c>
      <c r="C227" s="328"/>
      <c r="D227" s="349">
        <f>SUM(D228:D231)</f>
        <v>28852984</v>
      </c>
      <c r="E227" s="349">
        <f>SUM(E228:E231)</f>
        <v>0</v>
      </c>
      <c r="F227" s="349">
        <f>SUM(F228:F231)</f>
        <v>17333135</v>
      </c>
      <c r="G227" s="132"/>
      <c r="H227" s="338">
        <f t="shared" si="13"/>
        <v>-0.3992602290286509</v>
      </c>
      <c r="J227" s="342"/>
      <c r="L227" s="339">
        <f t="shared" si="11"/>
        <v>0.6341189791543195</v>
      </c>
      <c r="M227" s="326">
        <f>+'[8]PRESUPUESTO GENERAL'!Y220</f>
        <v>27334200</v>
      </c>
      <c r="N227" s="312" t="str">
        <f>+'[8]PRESUPUESTO GENERAL'!A220</f>
        <v>OTROS GASTOS</v>
      </c>
      <c r="O227" s="346"/>
    </row>
    <row r="228" spans="1:15" s="345" customFormat="1" ht="15">
      <c r="A228" s="327"/>
      <c r="B228" s="303" t="str">
        <f t="shared" si="12"/>
        <v>INTERESES</v>
      </c>
      <c r="C228" s="330"/>
      <c r="D228" s="329">
        <f>+'[8]IG 2015'!Y216</f>
        <v>0</v>
      </c>
      <c r="E228" s="330"/>
      <c r="F228" s="358"/>
      <c r="G228" s="330"/>
      <c r="H228" s="338" t="e">
        <f t="shared" si="13"/>
        <v>#DIV/0!</v>
      </c>
      <c r="I228" s="328"/>
      <c r="J228" s="333"/>
      <c r="K228" s="328"/>
      <c r="L228" s="339" t="e">
        <f t="shared" si="11"/>
        <v>#DIV/0!</v>
      </c>
      <c r="M228" s="326">
        <f>+'[8]PRESUPUESTO GENERAL'!Y221</f>
        <v>0</v>
      </c>
      <c r="N228" s="312" t="str">
        <f>+'[8]PRESUPUESTO GENERAL'!A221</f>
        <v>INTERESES</v>
      </c>
      <c r="O228" s="340"/>
    </row>
    <row r="229" spans="1:15" s="345" customFormat="1" ht="15">
      <c r="A229" s="341"/>
      <c r="B229" s="303" t="str">
        <f t="shared" si="12"/>
        <v>CONSULTAS CIFIN</v>
      </c>
      <c r="D229" s="329">
        <f>+'[8]IG 2015'!Y217</f>
        <v>2179696</v>
      </c>
      <c r="E229" s="131"/>
      <c r="F229" s="351">
        <v>2769069</v>
      </c>
      <c r="G229" s="132"/>
      <c r="H229" s="338">
        <f t="shared" si="13"/>
        <v>0.2703922932372221</v>
      </c>
      <c r="J229" s="342"/>
      <c r="L229" s="339">
        <f t="shared" si="11"/>
        <v>1.0244428412874584</v>
      </c>
      <c r="M229" s="326">
        <f>+'[8]PRESUPUESTO GENERAL'!Y222</f>
        <v>2703000</v>
      </c>
      <c r="N229" s="312" t="str">
        <f>+'[8]PRESUPUESTO GENERAL'!A222</f>
        <v>CONSULTAS CIFIN</v>
      </c>
      <c r="O229" s="334"/>
    </row>
    <row r="230" spans="1:15" s="345" customFormat="1" ht="15">
      <c r="A230" s="341"/>
      <c r="B230" s="303" t="str">
        <f t="shared" si="12"/>
        <v>4*1000</v>
      </c>
      <c r="D230" s="329"/>
      <c r="E230" s="131"/>
      <c r="F230" s="349">
        <f>13493311-137634</f>
        <v>13355677</v>
      </c>
      <c r="G230" s="132"/>
      <c r="H230" s="338" t="e">
        <f t="shared" si="13"/>
        <v>#DIV/0!</v>
      </c>
      <c r="J230" s="342"/>
      <c r="L230" s="339" t="e">
        <f t="shared" si="11"/>
        <v>#DIV/0!</v>
      </c>
      <c r="M230" s="326">
        <f>+'[8]PRESUPUESTO GENERAL'!Y223</f>
        <v>0</v>
      </c>
      <c r="N230" s="312" t="str">
        <f>+'[8]PRESUPUESTO GENERAL'!A223</f>
        <v>4*1000</v>
      </c>
      <c r="O230" s="334"/>
    </row>
    <row r="231" spans="1:15" s="345" customFormat="1" ht="15">
      <c r="A231" s="341"/>
      <c r="B231" s="303" t="str">
        <f t="shared" si="12"/>
        <v>GASTOS BANCARIOS</v>
      </c>
      <c r="D231" s="329">
        <f>+'[8]IG 2015'!Y219+'[8]IG 2015'!Y218-180</f>
        <v>26673288</v>
      </c>
      <c r="E231" s="131"/>
      <c r="F231" s="349">
        <v>1208389</v>
      </c>
      <c r="G231" s="132"/>
      <c r="H231" s="338">
        <f t="shared" si="13"/>
        <v>-0.9546966613189944</v>
      </c>
      <c r="J231" s="342"/>
      <c r="L231" s="339">
        <f t="shared" si="11"/>
        <v>0.04905928253597064</v>
      </c>
      <c r="M231" s="326">
        <f>+'[8]PRESUPUESTO GENERAL'!Y224</f>
        <v>24631200</v>
      </c>
      <c r="N231" s="312" t="str">
        <f>+'[8]PRESUPUESTO GENERAL'!A224</f>
        <v>GASTOS BANCARIOS</v>
      </c>
      <c r="O231" s="334"/>
    </row>
    <row r="232" spans="1:15" s="345" customFormat="1" ht="15">
      <c r="A232" s="341"/>
      <c r="B232" s="303">
        <f t="shared" si="12"/>
        <v>0</v>
      </c>
      <c r="D232" s="329"/>
      <c r="E232" s="131"/>
      <c r="F232" s="349"/>
      <c r="G232" s="132"/>
      <c r="H232" s="338" t="e">
        <f t="shared" si="13"/>
        <v>#DIV/0!</v>
      </c>
      <c r="J232" s="342"/>
      <c r="L232" s="339" t="e">
        <f t="shared" si="11"/>
        <v>#DIV/0!</v>
      </c>
      <c r="M232" s="326">
        <f>+'[8]PRESUPUESTO GENERAL'!Y225</f>
        <v>0</v>
      </c>
      <c r="N232" s="312">
        <f>+'[8]PRESUPUESTO GENERAL'!A225</f>
        <v>0</v>
      </c>
      <c r="O232" s="334"/>
    </row>
    <row r="233" spans="1:15" s="345" customFormat="1" ht="15">
      <c r="A233" s="341"/>
      <c r="B233" s="303" t="str">
        <f t="shared" si="12"/>
        <v>UTILIDAD O PERDIDA ADMINISTRATIVA</v>
      </c>
      <c r="D233" s="369">
        <f>+D159-D171-D227</f>
        <v>-400561911.81</v>
      </c>
      <c r="E233" s="369">
        <f>+E159-E171-E227</f>
        <v>0</v>
      </c>
      <c r="F233" s="369">
        <f>+F159-F171-F227</f>
        <v>-368804534.65999997</v>
      </c>
      <c r="G233" s="132"/>
      <c r="H233" s="338">
        <f t="shared" si="13"/>
        <v>-0.07928206904770224</v>
      </c>
      <c r="J233" s="342"/>
      <c r="L233" s="339">
        <f t="shared" si="11"/>
        <v>0.811198710950712</v>
      </c>
      <c r="M233" s="326">
        <f>+'[8]PRESUPUESTO GENERAL'!Y226</f>
        <v>-454641421</v>
      </c>
      <c r="N233" s="312" t="str">
        <f>+'[8]PRESUPUESTO GENERAL'!A226</f>
        <v>UTILIDAD O PERDIDA ADMINISTRATIVA</v>
      </c>
      <c r="O233" s="334"/>
    </row>
    <row r="234" spans="1:15" s="345" customFormat="1" ht="15">
      <c r="A234" s="341"/>
      <c r="B234" s="303">
        <f t="shared" si="12"/>
        <v>0</v>
      </c>
      <c r="D234" s="329"/>
      <c r="E234" s="131"/>
      <c r="F234" s="339"/>
      <c r="G234" s="342"/>
      <c r="H234" s="338" t="e">
        <f t="shared" si="13"/>
        <v>#DIV/0!</v>
      </c>
      <c r="J234" s="342"/>
      <c r="L234" s="339" t="e">
        <f t="shared" si="11"/>
        <v>#DIV/0!</v>
      </c>
      <c r="M234" s="326">
        <f>+'[8]PRESUPUESTO GENERAL'!Y227</f>
        <v>0</v>
      </c>
      <c r="N234" s="312">
        <f>+'[8]PRESUPUESTO GENERAL'!A227</f>
        <v>0</v>
      </c>
      <c r="O234" s="334"/>
    </row>
    <row r="235" spans="1:15" s="345" customFormat="1" ht="15">
      <c r="A235" s="341"/>
      <c r="B235" s="303" t="s">
        <v>547</v>
      </c>
      <c r="D235" s="329"/>
      <c r="E235" s="131"/>
      <c r="F235" s="339"/>
      <c r="G235" s="342"/>
      <c r="H235" s="338"/>
      <c r="J235" s="342"/>
      <c r="L235" s="339"/>
      <c r="M235" s="326"/>
      <c r="N235" s="370"/>
      <c r="O235" s="334"/>
    </row>
    <row r="236" spans="1:15" s="345" customFormat="1" ht="15">
      <c r="A236" s="341"/>
      <c r="B236" s="303"/>
      <c r="D236" s="329"/>
      <c r="E236" s="131"/>
      <c r="F236" s="339"/>
      <c r="G236" s="342"/>
      <c r="H236" s="338"/>
      <c r="J236" s="342"/>
      <c r="L236" s="339"/>
      <c r="M236" s="326"/>
      <c r="N236" s="370"/>
      <c r="O236" s="334"/>
    </row>
    <row r="237" spans="1:15" s="345" customFormat="1" ht="15">
      <c r="A237" s="341"/>
      <c r="B237" s="303" t="s">
        <v>548</v>
      </c>
      <c r="D237" s="329">
        <f>SUM(D238:D239)</f>
        <v>0</v>
      </c>
      <c r="E237" s="131"/>
      <c r="F237" s="371">
        <f>SUM(F238:F239)</f>
        <v>693466975</v>
      </c>
      <c r="G237" s="342"/>
      <c r="H237" s="338" t="e">
        <f>+(F237-D237)/D237</f>
        <v>#DIV/0!</v>
      </c>
      <c r="J237" s="342"/>
      <c r="L237" s="339" t="e">
        <f>+F237/M237</f>
        <v>#DIV/0!</v>
      </c>
      <c r="M237" s="371">
        <f>SUM(M238:M239)</f>
        <v>0</v>
      </c>
      <c r="N237" s="370"/>
      <c r="O237" s="334"/>
    </row>
    <row r="238" spans="1:15" s="345" customFormat="1" ht="15">
      <c r="A238" s="341"/>
      <c r="B238" s="303" t="s">
        <v>127</v>
      </c>
      <c r="D238" s="329"/>
      <c r="E238" s="131"/>
      <c r="F238" s="371">
        <v>293869692</v>
      </c>
      <c r="G238" s="342"/>
      <c r="H238" s="338" t="e">
        <f>+(F238-D238)/D238</f>
        <v>#DIV/0!</v>
      </c>
      <c r="J238" s="342"/>
      <c r="L238" s="339" t="e">
        <f>+F238/M238</f>
        <v>#DIV/0!</v>
      </c>
      <c r="M238" s="371">
        <f>SUM(M239:M240)</f>
        <v>0</v>
      </c>
      <c r="N238" s="370"/>
      <c r="O238" s="334"/>
    </row>
    <row r="239" spans="1:15" s="345" customFormat="1" ht="15">
      <c r="A239" s="341"/>
      <c r="B239" s="303" t="s">
        <v>549</v>
      </c>
      <c r="D239" s="329"/>
      <c r="E239" s="131"/>
      <c r="F239" s="371">
        <v>399597283</v>
      </c>
      <c r="G239" s="342"/>
      <c r="H239" s="338" t="e">
        <f>+(F239-D239)/D239</f>
        <v>#DIV/0!</v>
      </c>
      <c r="J239" s="342"/>
      <c r="L239" s="339" t="e">
        <f>+F239/M239</f>
        <v>#DIV/0!</v>
      </c>
      <c r="M239" s="371">
        <f>SUM(M240:M241)</f>
        <v>0</v>
      </c>
      <c r="N239" s="370"/>
      <c r="O239" s="334"/>
    </row>
    <row r="240" spans="1:15" s="345" customFormat="1" ht="15">
      <c r="A240" s="341"/>
      <c r="B240" s="303"/>
      <c r="D240" s="329"/>
      <c r="E240" s="131"/>
      <c r="F240" s="371"/>
      <c r="G240" s="342"/>
      <c r="H240" s="338"/>
      <c r="J240" s="342"/>
      <c r="L240" s="339"/>
      <c r="M240" s="326"/>
      <c r="N240" s="370"/>
      <c r="O240" s="334"/>
    </row>
    <row r="241" spans="1:15" s="345" customFormat="1" ht="15">
      <c r="A241" s="341"/>
      <c r="B241" s="303" t="s">
        <v>550</v>
      </c>
      <c r="D241" s="329">
        <f>SUM(D242:D243)</f>
        <v>0</v>
      </c>
      <c r="E241" s="131"/>
      <c r="F241" s="371">
        <f>SUM(F242:F243)</f>
        <v>687037340</v>
      </c>
      <c r="G241" s="342"/>
      <c r="H241" s="338" t="e">
        <f>+(F241-D241)/D241</f>
        <v>#DIV/0!</v>
      </c>
      <c r="J241" s="342"/>
      <c r="L241" s="339" t="e">
        <f>+F241/M241</f>
        <v>#DIV/0!</v>
      </c>
      <c r="M241" s="371">
        <f>SUM(M242:M243)</f>
        <v>0</v>
      </c>
      <c r="N241" s="370"/>
      <c r="O241" s="334"/>
    </row>
    <row r="242" spans="1:15" s="345" customFormat="1" ht="15">
      <c r="A242" s="341"/>
      <c r="B242" s="303" t="s">
        <v>551</v>
      </c>
      <c r="D242" s="329"/>
      <c r="E242" s="131"/>
      <c r="F242" s="371">
        <v>290439490</v>
      </c>
      <c r="G242" s="342"/>
      <c r="H242" s="338" t="e">
        <f>+(F242-D242)/D242</f>
        <v>#DIV/0!</v>
      </c>
      <c r="J242" s="342"/>
      <c r="L242" s="339" t="e">
        <f>+F242/M242</f>
        <v>#DIV/0!</v>
      </c>
      <c r="M242" s="371">
        <f>SUM(M243:M244)</f>
        <v>0</v>
      </c>
      <c r="N242" s="370"/>
      <c r="O242" s="334"/>
    </row>
    <row r="243" spans="1:15" s="345" customFormat="1" ht="15">
      <c r="A243" s="341"/>
      <c r="B243" s="303" t="s">
        <v>549</v>
      </c>
      <c r="D243" s="329"/>
      <c r="E243" s="131"/>
      <c r="F243" s="371">
        <v>396597850</v>
      </c>
      <c r="G243" s="342"/>
      <c r="H243" s="338" t="e">
        <f>+(F243-D243)/D243</f>
        <v>#DIV/0!</v>
      </c>
      <c r="J243" s="342"/>
      <c r="L243" s="339" t="e">
        <f>+F243/M243</f>
        <v>#DIV/0!</v>
      </c>
      <c r="M243" s="371">
        <f>SUM(M244:M245)</f>
        <v>0</v>
      </c>
      <c r="N243" s="370"/>
      <c r="O243" s="334"/>
    </row>
    <row r="244" spans="1:15" s="345" customFormat="1" ht="15">
      <c r="A244" s="341"/>
      <c r="B244" s="303"/>
      <c r="D244" s="329"/>
      <c r="E244" s="131"/>
      <c r="F244" s="371"/>
      <c r="G244" s="342"/>
      <c r="H244" s="338"/>
      <c r="J244" s="342"/>
      <c r="L244" s="339"/>
      <c r="M244" s="326"/>
      <c r="N244" s="370"/>
      <c r="O244" s="334"/>
    </row>
    <row r="245" spans="1:15" s="345" customFormat="1" ht="15">
      <c r="A245" s="341"/>
      <c r="B245" s="303" t="s">
        <v>135</v>
      </c>
      <c r="D245" s="329">
        <f>+D237-D241</f>
        <v>0</v>
      </c>
      <c r="E245" s="131"/>
      <c r="F245" s="371">
        <f>+F237-F241</f>
        <v>6429635</v>
      </c>
      <c r="G245" s="342"/>
      <c r="H245" s="338" t="e">
        <f>+(F245-D245)/D245</f>
        <v>#DIV/0!</v>
      </c>
      <c r="J245" s="342"/>
      <c r="L245" s="339" t="e">
        <f>+F245/M245</f>
        <v>#DIV/0!</v>
      </c>
      <c r="M245" s="371">
        <f>SUM(M246:M247)</f>
        <v>0</v>
      </c>
      <c r="N245" s="370"/>
      <c r="O245" s="334"/>
    </row>
    <row r="246" spans="1:15" s="345" customFormat="1" ht="15">
      <c r="A246" s="341"/>
      <c r="B246" s="303"/>
      <c r="D246" s="329"/>
      <c r="E246" s="372"/>
      <c r="F246" s="371"/>
      <c r="G246" s="342"/>
      <c r="H246" s="338"/>
      <c r="J246" s="342"/>
      <c r="L246" s="339"/>
      <c r="M246" s="326"/>
      <c r="N246" s="370"/>
      <c r="O246" s="334"/>
    </row>
    <row r="247" spans="1:15" s="345" customFormat="1" ht="15">
      <c r="A247" s="341"/>
      <c r="B247" s="303" t="s">
        <v>552</v>
      </c>
      <c r="D247" s="329">
        <f>+D249</f>
        <v>0</v>
      </c>
      <c r="E247" s="372"/>
      <c r="F247" s="371">
        <f>+F249</f>
        <v>2912770</v>
      </c>
      <c r="G247" s="342"/>
      <c r="H247" s="338" t="e">
        <f>+(F247-D247)/D247</f>
        <v>#DIV/0!</v>
      </c>
      <c r="J247" s="342"/>
      <c r="L247" s="339" t="e">
        <f>+F247/M247</f>
        <v>#DIV/0!</v>
      </c>
      <c r="M247" s="371">
        <f>SUM(M248:M249)</f>
        <v>0</v>
      </c>
      <c r="N247" s="370"/>
      <c r="O247" s="334"/>
    </row>
    <row r="248" spans="1:15" s="345" customFormat="1" ht="15">
      <c r="A248" s="341"/>
      <c r="B248" s="303"/>
      <c r="D248" s="329"/>
      <c r="E248" s="372"/>
      <c r="F248" s="371"/>
      <c r="G248" s="342"/>
      <c r="H248" s="338"/>
      <c r="J248" s="342"/>
      <c r="L248" s="339"/>
      <c r="M248" s="326"/>
      <c r="N248" s="370"/>
      <c r="O248" s="334"/>
    </row>
    <row r="249" spans="1:15" s="345" customFormat="1" ht="15">
      <c r="A249" s="341"/>
      <c r="B249" s="373" t="s">
        <v>553</v>
      </c>
      <c r="D249" s="329">
        <v>0</v>
      </c>
      <c r="E249" s="372"/>
      <c r="F249" s="371">
        <v>2912770</v>
      </c>
      <c r="G249" s="342"/>
      <c r="H249" s="338" t="e">
        <f>+(F249-D249)/D249</f>
        <v>#DIV/0!</v>
      </c>
      <c r="J249" s="342"/>
      <c r="L249" s="339" t="e">
        <f>+F249/M249</f>
        <v>#DIV/0!</v>
      </c>
      <c r="M249" s="371">
        <f>SUM(M250:M251)</f>
        <v>0</v>
      </c>
      <c r="N249" s="370"/>
      <c r="O249" s="334"/>
    </row>
    <row r="250" spans="1:15" s="345" customFormat="1" ht="15">
      <c r="A250" s="341"/>
      <c r="B250" s="303"/>
      <c r="D250" s="329"/>
      <c r="E250" s="372"/>
      <c r="F250" s="371"/>
      <c r="G250" s="342"/>
      <c r="H250" s="338"/>
      <c r="J250" s="342"/>
      <c r="L250" s="339"/>
      <c r="M250" s="326"/>
      <c r="N250" s="370"/>
      <c r="O250" s="334"/>
    </row>
    <row r="251" spans="1:15" s="345" customFormat="1" ht="15">
      <c r="A251" s="341"/>
      <c r="B251" s="303" t="s">
        <v>554</v>
      </c>
      <c r="D251" s="329">
        <f>+D245-D247</f>
        <v>0</v>
      </c>
      <c r="E251" s="372"/>
      <c r="F251" s="371">
        <f>+F245-F247</f>
        <v>3516865</v>
      </c>
      <c r="G251" s="342"/>
      <c r="H251" s="338" t="e">
        <f>+(F251-D251)/D251</f>
        <v>#DIV/0!</v>
      </c>
      <c r="J251" s="342"/>
      <c r="L251" s="339" t="e">
        <f>+F251/M251</f>
        <v>#DIV/0!</v>
      </c>
      <c r="M251" s="371">
        <f>SUM(M252:M253)</f>
        <v>0</v>
      </c>
      <c r="N251" s="370"/>
      <c r="O251" s="334"/>
    </row>
    <row r="252" spans="1:15" s="345" customFormat="1" ht="15">
      <c r="A252" s="341"/>
      <c r="B252" s="303"/>
      <c r="D252" s="329"/>
      <c r="E252" s="372"/>
      <c r="F252" s="371"/>
      <c r="G252" s="342"/>
      <c r="H252" s="338"/>
      <c r="J252" s="342"/>
      <c r="L252" s="339"/>
      <c r="M252" s="326"/>
      <c r="N252" s="370"/>
      <c r="O252" s="334"/>
    </row>
    <row r="253" spans="1:15" s="345" customFormat="1" ht="15.75" thickBot="1">
      <c r="A253" s="341"/>
      <c r="B253" s="303"/>
      <c r="D253" s="329"/>
      <c r="E253" s="131"/>
      <c r="F253" s="339"/>
      <c r="G253" s="342"/>
      <c r="H253" s="338"/>
      <c r="J253" s="342"/>
      <c r="L253" s="339"/>
      <c r="M253" s="326"/>
      <c r="N253" s="370"/>
      <c r="O253" s="334"/>
    </row>
    <row r="254" spans="1:15" s="345" customFormat="1" ht="15">
      <c r="A254" s="341"/>
      <c r="B254" s="374" t="str">
        <f t="shared" si="12"/>
        <v>UTILIDAD O PERDIDA DEL EJERCICIO</v>
      </c>
      <c r="C254" s="375"/>
      <c r="D254" s="376">
        <f>+D233+D155+D76+D251-D230</f>
        <v>47565737.49999946</v>
      </c>
      <c r="E254" s="375"/>
      <c r="F254" s="377">
        <f>+F233+F155+F76+F251</f>
        <v>35843563.25999963</v>
      </c>
      <c r="G254" s="375"/>
      <c r="H254" s="378">
        <f t="shared" si="13"/>
        <v>-0.24644155343959426</v>
      </c>
      <c r="I254" s="379"/>
      <c r="J254" s="378"/>
      <c r="K254" s="380"/>
      <c r="L254" s="378">
        <f t="shared" si="11"/>
        <v>0.3698915302428949</v>
      </c>
      <c r="M254" s="381">
        <f>+'[8]PRESUPUESTO GENERAL'!Y228</f>
        <v>96902903.49839157</v>
      </c>
      <c r="N254" s="382" t="str">
        <f>+'[8]PRESUPUESTO GENERAL'!A228</f>
        <v>UTILIDAD O PERDIDA DEL EJERCICIO</v>
      </c>
      <c r="O254" s="334"/>
    </row>
    <row r="255" spans="1:15" s="345" customFormat="1" ht="15">
      <c r="A255" s="341"/>
      <c r="B255" s="383"/>
      <c r="D255" s="329"/>
      <c r="E255" s="131"/>
      <c r="F255" s="384"/>
      <c r="G255" s="342"/>
      <c r="H255" s="338"/>
      <c r="J255" s="342"/>
      <c r="L255" s="339"/>
      <c r="M255" s="342"/>
      <c r="N255" s="312"/>
      <c r="O255" s="334"/>
    </row>
    <row r="256" spans="1:15" s="345" customFormat="1" ht="15.75" thickBot="1">
      <c r="A256" s="341"/>
      <c r="B256" s="385"/>
      <c r="D256" s="329"/>
      <c r="E256" s="131"/>
      <c r="F256" s="386"/>
      <c r="G256" s="342"/>
      <c r="H256" s="338"/>
      <c r="J256" s="342"/>
      <c r="L256" s="339"/>
      <c r="M256" s="342"/>
      <c r="N256" s="312"/>
      <c r="O256" s="334"/>
    </row>
    <row r="257" spans="1:15" s="345" customFormat="1" ht="15">
      <c r="A257" s="341"/>
      <c r="B257" s="387" t="s">
        <v>555</v>
      </c>
      <c r="C257" s="388"/>
      <c r="D257" s="389"/>
      <c r="E257" s="390"/>
      <c r="F257" s="391"/>
      <c r="G257" s="392"/>
      <c r="H257" s="378"/>
      <c r="I257" s="388"/>
      <c r="J257" s="339"/>
      <c r="K257" s="388"/>
      <c r="L257" s="393"/>
      <c r="M257" s="394"/>
      <c r="N257" s="394"/>
      <c r="O257" s="334"/>
    </row>
    <row r="258" spans="1:15" s="345" customFormat="1" ht="15">
      <c r="A258" s="341"/>
      <c r="B258" s="373" t="s">
        <v>258</v>
      </c>
      <c r="C258" s="395"/>
      <c r="D258" s="305"/>
      <c r="E258" s="396"/>
      <c r="F258" s="397"/>
      <c r="G258" s="134"/>
      <c r="H258" s="339"/>
      <c r="I258" s="395"/>
      <c r="J258" s="339"/>
      <c r="K258" s="395"/>
      <c r="L258" s="398"/>
      <c r="M258" s="313"/>
      <c r="N258" s="312"/>
      <c r="O258" s="334"/>
    </row>
    <row r="259" spans="1:15" s="345" customFormat="1" ht="15">
      <c r="A259" s="341"/>
      <c r="B259" s="387" t="s">
        <v>125</v>
      </c>
      <c r="C259" s="388"/>
      <c r="D259" s="389"/>
      <c r="E259" s="390"/>
      <c r="F259" s="391"/>
      <c r="G259" s="392"/>
      <c r="H259" s="378"/>
      <c r="I259" s="388"/>
      <c r="J259" s="339"/>
      <c r="K259" s="388"/>
      <c r="L259" s="393"/>
      <c r="M259" s="394"/>
      <c r="N259" s="378" t="str">
        <f>+B259</f>
        <v>FERTILIZANTES</v>
      </c>
      <c r="O259" s="334"/>
    </row>
    <row r="260" spans="1:15" s="345" customFormat="1" ht="15">
      <c r="A260" s="341"/>
      <c r="B260" s="387" t="s">
        <v>556</v>
      </c>
      <c r="C260" s="388"/>
      <c r="D260" s="399">
        <f>AVERAGE(D261:D265)</f>
        <v>0.11234599231097256</v>
      </c>
      <c r="E260" s="390"/>
      <c r="F260" s="399">
        <f>AVERAGE(F261:F265)</f>
        <v>0.11048028680432258</v>
      </c>
      <c r="G260" s="392"/>
      <c r="H260" s="378"/>
      <c r="I260" s="388"/>
      <c r="J260" s="339"/>
      <c r="K260" s="388"/>
      <c r="L260" s="393"/>
      <c r="M260" s="400">
        <f>AVERAGE(M261:M265)</f>
        <v>0.10500000000000005</v>
      </c>
      <c r="N260" s="378" t="str">
        <f aca="true" t="shared" si="14" ref="N260:N321">+B260</f>
        <v>MARGENES</v>
      </c>
      <c r="O260" s="334"/>
    </row>
    <row r="261" spans="1:15" s="345" customFormat="1" ht="15">
      <c r="A261" s="341"/>
      <c r="B261" s="373" t="s">
        <v>127</v>
      </c>
      <c r="C261" s="395"/>
      <c r="D261" s="398">
        <f>+'[8]IG 2015'!Y229</f>
        <v>0.10627019386455777</v>
      </c>
      <c r="E261" s="396"/>
      <c r="F261" s="398">
        <f aca="true" t="shared" si="15" ref="F261:F266">100%-(F17/F8)</f>
        <v>0.1117892833015941</v>
      </c>
      <c r="G261" s="401"/>
      <c r="H261" s="338">
        <f aca="true" t="shared" si="16" ref="H261:H266">+(F261-D261)/D261</f>
        <v>0.051934500506044555</v>
      </c>
      <c r="I261" s="395"/>
      <c r="J261" s="339">
        <v>-0.21189311672231698</v>
      </c>
      <c r="K261" s="395"/>
      <c r="L261" s="339">
        <f aca="true" t="shared" si="17" ref="L261:L266">+F261/M261</f>
        <v>1.064659840967563</v>
      </c>
      <c r="M261" s="402">
        <f aca="true" t="shared" si="18" ref="M261:M266">100%-(M17/M8)</f>
        <v>0.10499999999999998</v>
      </c>
      <c r="N261" s="312" t="str">
        <f t="shared" si="14"/>
        <v>FRESNO</v>
      </c>
      <c r="O261" s="334"/>
    </row>
    <row r="262" spans="1:15" s="345" customFormat="1" ht="15">
      <c r="A262" s="341"/>
      <c r="B262" s="373" t="s">
        <v>128</v>
      </c>
      <c r="C262" s="395"/>
      <c r="D262" s="398">
        <f>+'[8]IG 2015'!Y230</f>
        <v>0.1148521936943166</v>
      </c>
      <c r="E262" s="396"/>
      <c r="F262" s="398">
        <f t="shared" si="15"/>
        <v>0.1104817103462824</v>
      </c>
      <c r="G262" s="401"/>
      <c r="H262" s="338">
        <f t="shared" si="16"/>
        <v>-0.03805311163377861</v>
      </c>
      <c r="I262" s="395"/>
      <c r="J262" s="339">
        <v>-0.13784645767031412</v>
      </c>
      <c r="K262" s="395"/>
      <c r="L262" s="339">
        <f t="shared" si="17"/>
        <v>1.0522067652026885</v>
      </c>
      <c r="M262" s="402">
        <f t="shared" si="18"/>
        <v>0.1050000000000001</v>
      </c>
      <c r="N262" s="312" t="str">
        <f t="shared" si="14"/>
        <v>FRIAS</v>
      </c>
      <c r="O262" s="334"/>
    </row>
    <row r="263" spans="1:15" s="345" customFormat="1" ht="15">
      <c r="A263" s="341"/>
      <c r="B263" s="373" t="s">
        <v>129</v>
      </c>
      <c r="C263" s="395"/>
      <c r="D263" s="398">
        <f>+'[8]IG 2015'!Y231</f>
        <v>0.10742470535938797</v>
      </c>
      <c r="E263" s="396"/>
      <c r="F263" s="398">
        <f t="shared" si="15"/>
        <v>0.10421206360768287</v>
      </c>
      <c r="G263" s="401"/>
      <c r="H263" s="338">
        <f t="shared" si="16"/>
        <v>-0.029905986159861935</v>
      </c>
      <c r="I263" s="395"/>
      <c r="J263" s="339">
        <v>-0.20136215077197603</v>
      </c>
      <c r="K263" s="395"/>
      <c r="L263" s="339">
        <f t="shared" si="17"/>
        <v>0.9924958438826931</v>
      </c>
      <c r="M263" s="402">
        <f t="shared" si="18"/>
        <v>0.1050000000000001</v>
      </c>
      <c r="N263" s="312" t="str">
        <f t="shared" si="14"/>
        <v>HERVEO</v>
      </c>
      <c r="O263" s="334"/>
    </row>
    <row r="264" spans="1:15" s="345" customFormat="1" ht="15">
      <c r="A264" s="341"/>
      <c r="B264" s="373" t="s">
        <v>130</v>
      </c>
      <c r="C264" s="395"/>
      <c r="D264" s="398">
        <f>+'[8]IG 2015'!Y232</f>
        <v>0.11590217823251871</v>
      </c>
      <c r="E264" s="396"/>
      <c r="F264" s="398">
        <f t="shared" si="15"/>
        <v>0.11612461401293539</v>
      </c>
      <c r="G264" s="401"/>
      <c r="H264" s="338">
        <f t="shared" si="16"/>
        <v>0.0019191682486798492</v>
      </c>
      <c r="I264" s="395"/>
      <c r="J264" s="339">
        <v>-0.16863093416047362</v>
      </c>
      <c r="K264" s="395"/>
      <c r="L264" s="339">
        <f t="shared" si="17"/>
        <v>1.1059487048851002</v>
      </c>
      <c r="M264" s="402">
        <f t="shared" si="18"/>
        <v>0.10499999999999987</v>
      </c>
      <c r="N264" s="312" t="str">
        <f t="shared" si="14"/>
        <v>PADUA</v>
      </c>
      <c r="O264" s="334"/>
    </row>
    <row r="265" spans="1:15" s="345" customFormat="1" ht="15">
      <c r="A265" s="327"/>
      <c r="B265" s="373" t="s">
        <v>131</v>
      </c>
      <c r="C265" s="395"/>
      <c r="D265" s="398">
        <f>+'[8]IG 2015'!Y233</f>
        <v>0.1172806904040817</v>
      </c>
      <c r="E265" s="396"/>
      <c r="F265" s="398">
        <f t="shared" si="15"/>
        <v>0.10979376275311814</v>
      </c>
      <c r="G265" s="401"/>
      <c r="H265" s="338">
        <f t="shared" si="16"/>
        <v>-0.0638376839799282</v>
      </c>
      <c r="I265" s="395"/>
      <c r="J265" s="339">
        <v>-0.14429038879188474</v>
      </c>
      <c r="K265" s="395"/>
      <c r="L265" s="339">
        <f t="shared" si="17"/>
        <v>1.045654883363028</v>
      </c>
      <c r="M265" s="402">
        <f t="shared" si="18"/>
        <v>0.1050000000000002</v>
      </c>
      <c r="N265" s="312" t="str">
        <f t="shared" si="14"/>
        <v>PALOCABILDO</v>
      </c>
      <c r="O265" s="403"/>
    </row>
    <row r="266" spans="1:15" s="345" customFormat="1" ht="15">
      <c r="A266" s="327"/>
      <c r="B266" s="373" t="s">
        <v>540</v>
      </c>
      <c r="C266" s="395"/>
      <c r="D266" s="398">
        <f>+'[8]IG 2015'!Y234</f>
        <v>0</v>
      </c>
      <c r="E266" s="396"/>
      <c r="F266" s="398">
        <f t="shared" si="15"/>
        <v>0.12821193301227984</v>
      </c>
      <c r="G266" s="401"/>
      <c r="H266" s="338" t="e">
        <f t="shared" si="16"/>
        <v>#DIV/0!</v>
      </c>
      <c r="I266" s="395"/>
      <c r="J266" s="339">
        <v>0.855709611208115</v>
      </c>
      <c r="K266" s="395"/>
      <c r="L266" s="339" t="e">
        <f t="shared" si="17"/>
        <v>#DIV/0!</v>
      </c>
      <c r="M266" s="402" t="e">
        <f t="shared" si="18"/>
        <v>#DIV/0!</v>
      </c>
      <c r="N266" s="312" t="str">
        <f t="shared" si="14"/>
        <v>MARIQUITA</v>
      </c>
      <c r="O266" s="403"/>
    </row>
    <row r="267" spans="1:15" s="345" customFormat="1" ht="15">
      <c r="A267" s="341"/>
      <c r="B267" s="373"/>
      <c r="C267" s="395"/>
      <c r="D267" s="305"/>
      <c r="E267" s="396"/>
      <c r="F267" s="397"/>
      <c r="G267" s="134"/>
      <c r="H267" s="339"/>
      <c r="I267" s="395"/>
      <c r="J267" s="339"/>
      <c r="K267" s="395"/>
      <c r="L267" s="398"/>
      <c r="M267" s="313"/>
      <c r="N267" s="312">
        <f t="shared" si="14"/>
        <v>0</v>
      </c>
      <c r="O267" s="334"/>
    </row>
    <row r="268" spans="1:15" s="345" customFormat="1" ht="15">
      <c r="A268" s="341"/>
      <c r="B268" s="387" t="s">
        <v>184</v>
      </c>
      <c r="C268" s="388"/>
      <c r="D268" s="404">
        <f>SUM(D269:D273)</f>
        <v>81824</v>
      </c>
      <c r="E268" s="390"/>
      <c r="F268" s="404">
        <f>SUM(F269:F274)</f>
        <v>82412</v>
      </c>
      <c r="G268" s="404"/>
      <c r="H268" s="378"/>
      <c r="I268" s="388"/>
      <c r="J268" s="339"/>
      <c r="K268" s="388"/>
      <c r="L268" s="393"/>
      <c r="M268" s="405">
        <f>SUM(M269:M273)</f>
        <v>87041</v>
      </c>
      <c r="N268" s="378" t="str">
        <f t="shared" si="14"/>
        <v>VENTAS </v>
      </c>
      <c r="O268" s="334"/>
    </row>
    <row r="269" spans="1:15" s="345" customFormat="1" ht="15">
      <c r="A269" s="341"/>
      <c r="B269" s="373" t="s">
        <v>127</v>
      </c>
      <c r="C269" s="395"/>
      <c r="D269" s="406">
        <f>+'[8]IG 2015'!Y236</f>
        <v>38705</v>
      </c>
      <c r="E269" s="396"/>
      <c r="F269" s="407">
        <v>39260</v>
      </c>
      <c r="G269" s="406"/>
      <c r="H269" s="338">
        <f aca="true" t="shared" si="19" ref="H269:H274">+(F269-D269)/D269</f>
        <v>0.01433923265727942</v>
      </c>
      <c r="I269" s="395"/>
      <c r="J269" s="339">
        <v>-0.15006917147939128</v>
      </c>
      <c r="K269" s="395"/>
      <c r="L269" s="339">
        <f aca="true" t="shared" si="20" ref="L269:L274">+F269/M269</f>
        <v>0.9746409642143415</v>
      </c>
      <c r="M269" s="408">
        <f>+'[8]FERTILIZANTES'!Y52</f>
        <v>40281.5</v>
      </c>
      <c r="N269" s="312" t="str">
        <f t="shared" si="14"/>
        <v>FRESNO</v>
      </c>
      <c r="O269" s="334"/>
    </row>
    <row r="270" spans="1:15" s="345" customFormat="1" ht="15">
      <c r="A270" s="341"/>
      <c r="B270" s="373" t="s">
        <v>128</v>
      </c>
      <c r="C270" s="395"/>
      <c r="D270" s="406">
        <f>+'[8]IG 2015'!Y237</f>
        <v>5037</v>
      </c>
      <c r="E270" s="396"/>
      <c r="F270" s="407">
        <v>3413</v>
      </c>
      <c r="G270" s="406"/>
      <c r="H270" s="338">
        <f t="shared" si="19"/>
        <v>-0.3224141353980544</v>
      </c>
      <c r="I270" s="395"/>
      <c r="J270" s="339">
        <v>-0.2917604049493813</v>
      </c>
      <c r="K270" s="395"/>
      <c r="L270" s="339">
        <f t="shared" si="20"/>
        <v>0.5852696561776558</v>
      </c>
      <c r="M270" s="408">
        <f>+'[8]FERTILIZANTES'!Y53+1</f>
        <v>5831.5</v>
      </c>
      <c r="N270" s="312" t="str">
        <f t="shared" si="14"/>
        <v>FRIAS</v>
      </c>
      <c r="O270" s="334"/>
    </row>
    <row r="271" spans="1:15" s="345" customFormat="1" ht="15">
      <c r="A271" s="341"/>
      <c r="B271" s="373" t="s">
        <v>129</v>
      </c>
      <c r="C271" s="395"/>
      <c r="D271" s="406">
        <f>+'[8]IG 2015'!Y238</f>
        <v>6300</v>
      </c>
      <c r="E271" s="396"/>
      <c r="F271" s="407">
        <v>5729</v>
      </c>
      <c r="G271" s="406"/>
      <c r="H271" s="338">
        <f t="shared" si="19"/>
        <v>-0.09063492063492064</v>
      </c>
      <c r="I271" s="395"/>
      <c r="J271" s="339">
        <v>-0.15572232645403378</v>
      </c>
      <c r="K271" s="395"/>
      <c r="L271" s="339">
        <f t="shared" si="20"/>
        <v>0.854628179309316</v>
      </c>
      <c r="M271" s="408">
        <f>+'[8]FERTILIZANTES'!Y54</f>
        <v>6703.5</v>
      </c>
      <c r="N271" s="312" t="str">
        <f t="shared" si="14"/>
        <v>HERVEO</v>
      </c>
      <c r="O271" s="334"/>
    </row>
    <row r="272" spans="1:15" s="345" customFormat="1" ht="15">
      <c r="A272" s="341"/>
      <c r="B272" s="373" t="s">
        <v>130</v>
      </c>
      <c r="C272" s="395"/>
      <c r="D272" s="406">
        <f>+'[8]IG 2015'!Y239</f>
        <v>3410</v>
      </c>
      <c r="E272" s="396"/>
      <c r="F272" s="407">
        <v>3131</v>
      </c>
      <c r="G272" s="406"/>
      <c r="H272" s="338">
        <f t="shared" si="19"/>
        <v>-0.08181818181818182</v>
      </c>
      <c r="I272" s="395"/>
      <c r="J272" s="339">
        <v>-0.08701472556894244</v>
      </c>
      <c r="K272" s="395"/>
      <c r="L272" s="339">
        <f t="shared" si="20"/>
        <v>0.9064852345107122</v>
      </c>
      <c r="M272" s="408">
        <f>+'[8]FERTILIZANTES'!Y55</f>
        <v>3454</v>
      </c>
      <c r="N272" s="312" t="str">
        <f t="shared" si="14"/>
        <v>PADUA</v>
      </c>
      <c r="O272" s="334"/>
    </row>
    <row r="273" spans="1:15" s="345" customFormat="1" ht="15">
      <c r="A273" s="327"/>
      <c r="B273" s="373" t="s">
        <v>131</v>
      </c>
      <c r="C273" s="395"/>
      <c r="D273" s="406">
        <f>+'[8]IG 2015'!Y240</f>
        <v>28372</v>
      </c>
      <c r="E273" s="396"/>
      <c r="F273" s="407">
        <v>29961</v>
      </c>
      <c r="G273" s="406"/>
      <c r="H273" s="338">
        <f t="shared" si="19"/>
        <v>0.05600592133088961</v>
      </c>
      <c r="I273" s="395"/>
      <c r="J273" s="339">
        <v>-0.18424381828637149</v>
      </c>
      <c r="K273" s="395"/>
      <c r="L273" s="339">
        <f t="shared" si="20"/>
        <v>0.9736923351911734</v>
      </c>
      <c r="M273" s="408">
        <f>+'[8]FERTILIZANTES'!Y56+1</f>
        <v>30770.5</v>
      </c>
      <c r="N273" s="312" t="str">
        <f t="shared" si="14"/>
        <v>PALOCABILDO</v>
      </c>
      <c r="O273" s="403"/>
    </row>
    <row r="274" spans="1:15" s="345" customFormat="1" ht="15">
      <c r="A274" s="327"/>
      <c r="B274" s="373" t="s">
        <v>540</v>
      </c>
      <c r="C274" s="395"/>
      <c r="D274" s="406">
        <v>0</v>
      </c>
      <c r="E274" s="396"/>
      <c r="F274" s="345">
        <v>918</v>
      </c>
      <c r="G274" s="406"/>
      <c r="H274" s="338" t="e">
        <f t="shared" si="19"/>
        <v>#DIV/0!</v>
      </c>
      <c r="I274" s="395"/>
      <c r="J274" s="339">
        <v>0.815756181713629</v>
      </c>
      <c r="K274" s="395"/>
      <c r="L274" s="339" t="e">
        <f t="shared" si="20"/>
        <v>#DIV/0!</v>
      </c>
      <c r="M274" s="408">
        <v>0</v>
      </c>
      <c r="N274" s="312" t="str">
        <f t="shared" si="14"/>
        <v>MARIQUITA</v>
      </c>
      <c r="O274" s="403"/>
    </row>
    <row r="275" spans="1:15" s="345" customFormat="1" ht="15">
      <c r="A275" s="341"/>
      <c r="B275" s="373"/>
      <c r="C275" s="395"/>
      <c r="D275" s="305"/>
      <c r="E275" s="396"/>
      <c r="F275" s="397"/>
      <c r="G275" s="134"/>
      <c r="H275" s="338"/>
      <c r="I275" s="395"/>
      <c r="J275" s="339"/>
      <c r="K275" s="395"/>
      <c r="L275" s="398"/>
      <c r="M275" s="313"/>
      <c r="N275" s="312">
        <f t="shared" si="14"/>
        <v>0</v>
      </c>
      <c r="O275" s="334"/>
    </row>
    <row r="276" spans="1:15" s="345" customFormat="1" ht="15">
      <c r="A276" s="341"/>
      <c r="B276" s="387" t="s">
        <v>557</v>
      </c>
      <c r="C276" s="409"/>
      <c r="D276" s="376"/>
      <c r="E276" s="375"/>
      <c r="F276" s="410"/>
      <c r="G276" s="411"/>
      <c r="H276" s="378"/>
      <c r="I276" s="409"/>
      <c r="J276" s="309"/>
      <c r="K276" s="409"/>
      <c r="L276" s="378"/>
      <c r="M276" s="382"/>
      <c r="N276" s="378" t="str">
        <f t="shared" si="14"/>
        <v>PRECIO VENTA PROMEDIO</v>
      </c>
      <c r="O276" s="334"/>
    </row>
    <row r="277" spans="1:15" s="345" customFormat="1" ht="15">
      <c r="A277" s="341"/>
      <c r="B277" s="373" t="s">
        <v>127</v>
      </c>
      <c r="C277" s="395"/>
      <c r="D277" s="305">
        <f aca="true" t="shared" si="21" ref="D277:D282">+(D8/D269)</f>
        <v>71083.02376953882</v>
      </c>
      <c r="E277" s="396"/>
      <c r="F277" s="397">
        <f aca="true" t="shared" si="22" ref="F277:F282">+(F8/F269)</f>
        <v>69700.08155883852</v>
      </c>
      <c r="G277" s="134"/>
      <c r="H277" s="338">
        <f aca="true" t="shared" si="23" ref="H277:H282">+(F277-D277)/D277</f>
        <v>-0.019455309261800655</v>
      </c>
      <c r="I277" s="395"/>
      <c r="J277" s="339">
        <v>0.08760772995030836</v>
      </c>
      <c r="K277" s="395"/>
      <c r="L277" s="339">
        <f aca="true" t="shared" si="24" ref="L277:L282">+F277/M277</f>
        <v>0.9595278337737978</v>
      </c>
      <c r="M277" s="412">
        <f aca="true" t="shared" si="25" ref="M277:M282">+(M8/M269)</f>
        <v>72639.97885784086</v>
      </c>
      <c r="N277" s="312" t="str">
        <f t="shared" si="14"/>
        <v>FRESNO</v>
      </c>
      <c r="O277" s="334"/>
    </row>
    <row r="278" spans="1:15" s="345" customFormat="1" ht="15">
      <c r="A278" s="341"/>
      <c r="B278" s="373" t="s">
        <v>128</v>
      </c>
      <c r="C278" s="395"/>
      <c r="D278" s="305">
        <f t="shared" si="21"/>
        <v>76924.24736946596</v>
      </c>
      <c r="E278" s="396"/>
      <c r="F278" s="397">
        <f t="shared" si="22"/>
        <v>75271.35833577497</v>
      </c>
      <c r="G278" s="134"/>
      <c r="H278" s="338">
        <f t="shared" si="23"/>
        <v>-0.02148723049251535</v>
      </c>
      <c r="I278" s="395"/>
      <c r="J278" s="339">
        <v>0.15893934094986104</v>
      </c>
      <c r="K278" s="395"/>
      <c r="L278" s="339">
        <f t="shared" si="24"/>
        <v>0.9654012559005789</v>
      </c>
      <c r="M278" s="412">
        <f t="shared" si="25"/>
        <v>77968.9873777487</v>
      </c>
      <c r="N278" s="312" t="str">
        <f t="shared" si="14"/>
        <v>FRIAS</v>
      </c>
      <c r="O278" s="334"/>
    </row>
    <row r="279" spans="1:15" s="345" customFormat="1" ht="15">
      <c r="A279" s="341"/>
      <c r="B279" s="373" t="s">
        <v>129</v>
      </c>
      <c r="C279" s="395"/>
      <c r="D279" s="305">
        <f t="shared" si="21"/>
        <v>73911.95238095238</v>
      </c>
      <c r="E279" s="396"/>
      <c r="F279" s="397">
        <f t="shared" si="22"/>
        <v>72273.8523302496</v>
      </c>
      <c r="G279" s="134"/>
      <c r="H279" s="338">
        <f t="shared" si="23"/>
        <v>-0.022162857263731652</v>
      </c>
      <c r="I279" s="395"/>
      <c r="J279" s="339">
        <v>0.13729477616581365</v>
      </c>
      <c r="K279" s="395"/>
      <c r="L279" s="339">
        <f t="shared" si="24"/>
        <v>0.9578511534831579</v>
      </c>
      <c r="M279" s="412">
        <f t="shared" si="25"/>
        <v>75454.15805726271</v>
      </c>
      <c r="N279" s="312" t="str">
        <f t="shared" si="14"/>
        <v>HERVEO</v>
      </c>
      <c r="O279" s="334"/>
    </row>
    <row r="280" spans="1:15" s="345" customFormat="1" ht="15">
      <c r="A280" s="341"/>
      <c r="B280" s="373" t="s">
        <v>130</v>
      </c>
      <c r="C280" s="395"/>
      <c r="D280" s="305">
        <f t="shared" si="21"/>
        <v>72618.56304985337</v>
      </c>
      <c r="E280" s="396"/>
      <c r="F280" s="397">
        <f t="shared" si="22"/>
        <v>70522.9223890131</v>
      </c>
      <c r="G280" s="134"/>
      <c r="H280" s="338">
        <f t="shared" si="23"/>
        <v>-0.02885819510641649</v>
      </c>
      <c r="I280" s="395"/>
      <c r="J280" s="339">
        <v>0.09896558893946371</v>
      </c>
      <c r="K280" s="395"/>
      <c r="L280" s="339">
        <f t="shared" si="24"/>
        <v>0.9582226663090949</v>
      </c>
      <c r="M280" s="412">
        <f t="shared" si="25"/>
        <v>73597.63536032286</v>
      </c>
      <c r="N280" s="312" t="str">
        <f t="shared" si="14"/>
        <v>PADUA</v>
      </c>
      <c r="O280" s="334"/>
    </row>
    <row r="281" spans="1:15" s="345" customFormat="1" ht="15">
      <c r="A281" s="341"/>
      <c r="B281" s="373" t="s">
        <v>131</v>
      </c>
      <c r="C281" s="395"/>
      <c r="D281" s="305">
        <f t="shared" si="21"/>
        <v>75561.09192161285</v>
      </c>
      <c r="E281" s="396"/>
      <c r="F281" s="397">
        <f t="shared" si="22"/>
        <v>74113.21317713027</v>
      </c>
      <c r="G281" s="134"/>
      <c r="H281" s="338">
        <f t="shared" si="23"/>
        <v>-0.019161696948273556</v>
      </c>
      <c r="I281" s="395"/>
      <c r="J281" s="339">
        <v>0.14436429152720234</v>
      </c>
      <c r="K281" s="395"/>
      <c r="L281" s="339">
        <f t="shared" si="24"/>
        <v>0.9692769301438331</v>
      </c>
      <c r="M281" s="412">
        <f t="shared" si="25"/>
        <v>76462.37197261308</v>
      </c>
      <c r="N281" s="312" t="str">
        <f t="shared" si="14"/>
        <v>PALOCABILDO</v>
      </c>
      <c r="O281" s="334"/>
    </row>
    <row r="282" spans="1:15" s="345" customFormat="1" ht="15">
      <c r="A282" s="341"/>
      <c r="B282" s="373" t="s">
        <v>540</v>
      </c>
      <c r="C282" s="395"/>
      <c r="D282" s="305" t="e">
        <f t="shared" si="21"/>
        <v>#DIV/0!</v>
      </c>
      <c r="E282" s="396"/>
      <c r="F282" s="397">
        <f t="shared" si="22"/>
        <v>69352.28758169935</v>
      </c>
      <c r="G282" s="134"/>
      <c r="H282" s="338" t="e">
        <f t="shared" si="23"/>
        <v>#DIV/0!</v>
      </c>
      <c r="I282" s="395"/>
      <c r="J282" s="339">
        <v>0.14436429152720234</v>
      </c>
      <c r="K282" s="395"/>
      <c r="L282" s="339" t="e">
        <f t="shared" si="24"/>
        <v>#DIV/0!</v>
      </c>
      <c r="M282" s="412" t="e">
        <f t="shared" si="25"/>
        <v>#DIV/0!</v>
      </c>
      <c r="N282" s="312" t="str">
        <f t="shared" si="14"/>
        <v>MARIQUITA</v>
      </c>
      <c r="O282" s="334"/>
    </row>
    <row r="283" spans="1:15" s="345" customFormat="1" ht="15">
      <c r="A283" s="341"/>
      <c r="B283" s="373"/>
      <c r="C283" s="395"/>
      <c r="D283" s="305"/>
      <c r="E283" s="396"/>
      <c r="F283" s="397"/>
      <c r="G283" s="134"/>
      <c r="H283" s="339"/>
      <c r="I283" s="395"/>
      <c r="J283" s="339"/>
      <c r="K283" s="395"/>
      <c r="L283" s="398"/>
      <c r="M283" s="313"/>
      <c r="N283" s="312">
        <f t="shared" si="14"/>
        <v>0</v>
      </c>
      <c r="O283" s="334"/>
    </row>
    <row r="284" spans="1:15" s="345" customFormat="1" ht="15">
      <c r="A284" s="341"/>
      <c r="B284" s="387" t="s">
        <v>558</v>
      </c>
      <c r="C284" s="409"/>
      <c r="D284" s="376"/>
      <c r="E284" s="375"/>
      <c r="F284" s="410"/>
      <c r="G284" s="411"/>
      <c r="H284" s="378"/>
      <c r="I284" s="409"/>
      <c r="J284" s="309"/>
      <c r="K284" s="409"/>
      <c r="L284" s="378"/>
      <c r="M284" s="382"/>
      <c r="N284" s="378" t="str">
        <f t="shared" si="14"/>
        <v>COSTO DE VENTA PROMEDIO</v>
      </c>
      <c r="O284" s="334"/>
    </row>
    <row r="285" spans="1:15" s="345" customFormat="1" ht="15">
      <c r="A285" s="341"/>
      <c r="B285" s="373" t="s">
        <v>127</v>
      </c>
      <c r="C285" s="395"/>
      <c r="D285" s="305">
        <f>+'[8]IG 2015'!Y250</f>
        <v>64254.66776902209</v>
      </c>
      <c r="E285" s="396"/>
      <c r="F285" s="413">
        <f aca="true" t="shared" si="26" ref="F285:F290">+F17/F269</f>
        <v>61908.3593953133</v>
      </c>
      <c r="G285" s="396"/>
      <c r="H285" s="338">
        <f aca="true" t="shared" si="27" ref="H285:H290">+(F285-D285)/D285</f>
        <v>-0.03651576539377843</v>
      </c>
      <c r="I285" s="395"/>
      <c r="J285" s="339">
        <v>0.11569789399387607</v>
      </c>
      <c r="K285" s="395"/>
      <c r="L285" s="339">
        <f aca="true" t="shared" si="28" ref="L285:L290">+F285/M285</f>
        <v>0.9522490557858031</v>
      </c>
      <c r="M285" s="414">
        <f aca="true" t="shared" si="29" ref="M285:M290">+M17/M269</f>
        <v>65012.78107776758</v>
      </c>
      <c r="N285" s="312" t="str">
        <f t="shared" si="14"/>
        <v>FRESNO</v>
      </c>
      <c r="O285" s="334"/>
    </row>
    <row r="286" spans="1:15" s="345" customFormat="1" ht="15">
      <c r="A286" s="341"/>
      <c r="B286" s="373" t="s">
        <v>128</v>
      </c>
      <c r="C286" s="395"/>
      <c r="D286" s="305">
        <f>+'[8]IG 2015'!Y251</f>
        <v>68999.50307722851</v>
      </c>
      <c r="E286" s="396"/>
      <c r="F286" s="413">
        <f t="shared" si="26"/>
        <v>66955.24992675066</v>
      </c>
      <c r="G286" s="396"/>
      <c r="H286" s="338">
        <f t="shared" si="27"/>
        <v>-0.029627070620925934</v>
      </c>
      <c r="I286" s="395"/>
      <c r="J286" s="339">
        <v>0.1780288034765504</v>
      </c>
      <c r="K286" s="395"/>
      <c r="L286" s="339">
        <f t="shared" si="28"/>
        <v>0.9594883508136692</v>
      </c>
      <c r="M286" s="414">
        <f t="shared" si="29"/>
        <v>69782.24370308509</v>
      </c>
      <c r="N286" s="312" t="str">
        <f t="shared" si="14"/>
        <v>FRIAS</v>
      </c>
      <c r="O286" s="334"/>
    </row>
    <row r="287" spans="1:15" s="345" customFormat="1" ht="15">
      <c r="A287" s="341"/>
      <c r="B287" s="373" t="s">
        <v>129</v>
      </c>
      <c r="C287" s="395"/>
      <c r="D287" s="305">
        <f>+'[8]IG 2015'!Y252</f>
        <v>66742.19206349207</v>
      </c>
      <c r="E287" s="396"/>
      <c r="F287" s="413">
        <f t="shared" si="26"/>
        <v>64742.04503403736</v>
      </c>
      <c r="G287" s="396"/>
      <c r="H287" s="338">
        <f t="shared" si="27"/>
        <v>-0.029968254976581593</v>
      </c>
      <c r="I287" s="395"/>
      <c r="J287" s="339">
        <v>0.16511053808204854</v>
      </c>
      <c r="K287" s="395"/>
      <c r="L287" s="339">
        <f t="shared" si="28"/>
        <v>0.9586944225136075</v>
      </c>
      <c r="M287" s="414">
        <f t="shared" si="29"/>
        <v>67531.47146125013</v>
      </c>
      <c r="N287" s="312" t="str">
        <f t="shared" si="14"/>
        <v>HERVEO</v>
      </c>
      <c r="O287" s="334"/>
    </row>
    <row r="288" spans="1:15" s="345" customFormat="1" ht="15">
      <c r="A288" s="341"/>
      <c r="B288" s="373" t="s">
        <v>130</v>
      </c>
      <c r="C288" s="395"/>
      <c r="D288" s="305">
        <f>+'[8]IG 2015'!Y253</f>
        <v>65076.10117302053</v>
      </c>
      <c r="E288" s="396"/>
      <c r="F288" s="413">
        <f t="shared" si="26"/>
        <v>62333.47524752475</v>
      </c>
      <c r="G288" s="396"/>
      <c r="H288" s="338">
        <f t="shared" si="27"/>
        <v>-0.042144902292223126</v>
      </c>
      <c r="I288" s="395"/>
      <c r="J288" s="339">
        <v>0.12211782551678671</v>
      </c>
      <c r="K288" s="395"/>
      <c r="L288" s="339">
        <f t="shared" si="28"/>
        <v>0.9463122112240283</v>
      </c>
      <c r="M288" s="414">
        <f t="shared" si="29"/>
        <v>65869.88364748897</v>
      </c>
      <c r="N288" s="312" t="str">
        <f t="shared" si="14"/>
        <v>PADUA</v>
      </c>
      <c r="O288" s="334"/>
    </row>
    <row r="289" spans="1:15" s="345" customFormat="1" ht="15">
      <c r="A289" s="341"/>
      <c r="B289" s="373" t="s">
        <v>131</v>
      </c>
      <c r="C289" s="395"/>
      <c r="D289" s="305">
        <f>+'[8]IG 2015'!Y254</f>
        <v>67629.46193430142</v>
      </c>
      <c r="E289" s="396"/>
      <c r="F289" s="413">
        <f t="shared" si="26"/>
        <v>65976.04463268917</v>
      </c>
      <c r="G289" s="396"/>
      <c r="H289" s="338">
        <f t="shared" si="27"/>
        <v>-0.02444818063492006</v>
      </c>
      <c r="I289" s="395"/>
      <c r="J289" s="339">
        <v>0.1646196303478805</v>
      </c>
      <c r="K289" s="395"/>
      <c r="L289" s="339">
        <f t="shared" si="28"/>
        <v>0.9640853283056432</v>
      </c>
      <c r="M289" s="414">
        <f t="shared" si="29"/>
        <v>68433.8229154887</v>
      </c>
      <c r="N289" s="312" t="str">
        <f t="shared" si="14"/>
        <v>PALOCABILDO</v>
      </c>
      <c r="O289" s="334"/>
    </row>
    <row r="290" spans="1:15" s="345" customFormat="1" ht="15">
      <c r="A290" s="341"/>
      <c r="B290" s="373" t="s">
        <v>540</v>
      </c>
      <c r="C290" s="395"/>
      <c r="D290" s="305">
        <v>0</v>
      </c>
      <c r="E290" s="396"/>
      <c r="F290" s="413">
        <f t="shared" si="26"/>
        <v>60460.49673202614</v>
      </c>
      <c r="G290" s="134"/>
      <c r="H290" s="338" t="e">
        <f t="shared" si="27"/>
        <v>#DIV/0!</v>
      </c>
      <c r="I290" s="395"/>
      <c r="J290" s="339">
        <v>0.1646196303478805</v>
      </c>
      <c r="K290" s="395"/>
      <c r="L290" s="339" t="e">
        <f t="shared" si="28"/>
        <v>#DIV/0!</v>
      </c>
      <c r="M290" s="414" t="e">
        <f t="shared" si="29"/>
        <v>#DIV/0!</v>
      </c>
      <c r="N290" s="312" t="str">
        <f t="shared" si="14"/>
        <v>MARIQUITA</v>
      </c>
      <c r="O290" s="334"/>
    </row>
    <row r="291" spans="1:15" s="345" customFormat="1" ht="15">
      <c r="A291" s="341"/>
      <c r="B291" s="373"/>
      <c r="C291" s="395"/>
      <c r="D291" s="305"/>
      <c r="E291" s="396"/>
      <c r="F291" s="397"/>
      <c r="G291" s="134"/>
      <c r="H291" s="339"/>
      <c r="I291" s="395"/>
      <c r="J291" s="339"/>
      <c r="K291" s="395"/>
      <c r="L291" s="398"/>
      <c r="M291" s="313"/>
      <c r="N291" s="312">
        <f t="shared" si="14"/>
        <v>0</v>
      </c>
      <c r="O291" s="334"/>
    </row>
    <row r="292" spans="1:15" s="345" customFormat="1" ht="15">
      <c r="A292" s="341"/>
      <c r="B292" s="387" t="s">
        <v>183</v>
      </c>
      <c r="C292" s="388"/>
      <c r="D292" s="376"/>
      <c r="E292" s="390"/>
      <c r="F292" s="391"/>
      <c r="G292" s="392"/>
      <c r="H292" s="378"/>
      <c r="I292" s="388"/>
      <c r="J292" s="339"/>
      <c r="K292" s="388"/>
      <c r="L292" s="393"/>
      <c r="M292" s="394"/>
      <c r="N292" s="378" t="str">
        <f t="shared" si="14"/>
        <v>CAFÉ</v>
      </c>
      <c r="O292" s="334"/>
    </row>
    <row r="293" spans="1:15" s="345" customFormat="1" ht="15">
      <c r="A293" s="341"/>
      <c r="B293" s="415" t="s">
        <v>556</v>
      </c>
      <c r="C293" s="388"/>
      <c r="D293" s="378">
        <f>AVERAGE(D294:D298)</f>
        <v>0.03355297458273472</v>
      </c>
      <c r="E293" s="390"/>
      <c r="F293" s="416">
        <f>AVERAGE(F294:F298)</f>
        <v>0.024164768564518303</v>
      </c>
      <c r="G293" s="392"/>
      <c r="H293" s="378"/>
      <c r="I293" s="388"/>
      <c r="J293" s="339"/>
      <c r="K293" s="388"/>
      <c r="L293" s="393"/>
      <c r="M293" s="417">
        <f>AVERAGE(M294:M298)</f>
        <v>0.030000000000000093</v>
      </c>
      <c r="N293" s="378" t="str">
        <f t="shared" si="14"/>
        <v>MARGENES</v>
      </c>
      <c r="O293" s="334"/>
    </row>
    <row r="294" spans="1:15" s="345" customFormat="1" ht="15">
      <c r="A294" s="341"/>
      <c r="B294" s="373" t="s">
        <v>127</v>
      </c>
      <c r="C294" s="395"/>
      <c r="D294" s="398">
        <f>+'[8]IG 2015'!Y259</f>
        <v>0.035895688206981684</v>
      </c>
      <c r="E294" s="396"/>
      <c r="F294" s="398">
        <f>100%-(F91/F83)</f>
        <v>0.02571882754941701</v>
      </c>
      <c r="G294" s="401"/>
      <c r="H294" s="338">
        <f>+(F294-D294)/D294</f>
        <v>-0.28351206414772906</v>
      </c>
      <c r="I294" s="395"/>
      <c r="J294" s="338">
        <v>-0.16077079860980434</v>
      </c>
      <c r="K294" s="395"/>
      <c r="L294" s="339">
        <f>+F294/M294</f>
        <v>0.8572942516472298</v>
      </c>
      <c r="M294" s="402">
        <f>100%-(M91/M83)</f>
        <v>0.030000000000000138</v>
      </c>
      <c r="N294" s="312" t="str">
        <f t="shared" si="14"/>
        <v>FRESNO</v>
      </c>
      <c r="O294" s="334"/>
    </row>
    <row r="295" spans="1:15" s="345" customFormat="1" ht="15">
      <c r="A295" s="341"/>
      <c r="B295" s="373" t="s">
        <v>128</v>
      </c>
      <c r="C295" s="395"/>
      <c r="D295" s="398">
        <f>+'[8]IG 2015'!Y260</f>
        <v>0.018792183948604463</v>
      </c>
      <c r="E295" s="396"/>
      <c r="F295" s="398">
        <f>100%-(F92/F84)</f>
        <v>0.027594679871453698</v>
      </c>
      <c r="G295" s="401"/>
      <c r="H295" s="338">
        <f>+(F295-D295)/D295</f>
        <v>0.46841260956808173</v>
      </c>
      <c r="I295" s="395"/>
      <c r="J295" s="338">
        <v>-1.2172338659850535</v>
      </c>
      <c r="K295" s="395"/>
      <c r="L295" s="339">
        <f>+F295/M295</f>
        <v>0.9198226623817857</v>
      </c>
      <c r="M295" s="402">
        <f>100%-(M92/M84)</f>
        <v>0.030000000000000138</v>
      </c>
      <c r="N295" s="312" t="str">
        <f t="shared" si="14"/>
        <v>FRIAS</v>
      </c>
      <c r="O295" s="334"/>
    </row>
    <row r="296" spans="1:15" s="345" customFormat="1" ht="15">
      <c r="A296" s="341"/>
      <c r="B296" s="373" t="s">
        <v>129</v>
      </c>
      <c r="C296" s="395"/>
      <c r="D296" s="398">
        <f>+'[8]IG 2015'!Y261</f>
        <v>0.040908327279094596</v>
      </c>
      <c r="E296" s="396"/>
      <c r="F296" s="398">
        <f>100%-(F93/F85)</f>
        <v>0.009493126164494381</v>
      </c>
      <c r="G296" s="401"/>
      <c r="H296" s="338">
        <f>+(F296-D296)/D296</f>
        <v>-0.767941473144866</v>
      </c>
      <c r="I296" s="395"/>
      <c r="J296" s="338">
        <v>-0.018537531060572723</v>
      </c>
      <c r="K296" s="395"/>
      <c r="L296" s="339">
        <f>+F296/M296</f>
        <v>0.31643753881647674</v>
      </c>
      <c r="M296" s="402">
        <f>100%-(M93/M85)</f>
        <v>0.03000000000000025</v>
      </c>
      <c r="N296" s="312" t="str">
        <f t="shared" si="14"/>
        <v>HERVEO</v>
      </c>
      <c r="O296" s="334"/>
    </row>
    <row r="297" spans="1:15" s="345" customFormat="1" ht="15">
      <c r="A297" s="341"/>
      <c r="B297" s="373" t="s">
        <v>130</v>
      </c>
      <c r="C297" s="395"/>
      <c r="D297" s="398">
        <f>+'[8]IG 2015'!Y262</f>
        <v>0.033960243342649014</v>
      </c>
      <c r="E297" s="396"/>
      <c r="F297" s="398">
        <f>100%-(F94/F86)</f>
        <v>0.01561754367979229</v>
      </c>
      <c r="G297" s="401"/>
      <c r="H297" s="338">
        <f>+(F297-D297)/D297</f>
        <v>-0.5401227393391796</v>
      </c>
      <c r="I297" s="395"/>
      <c r="J297" s="338">
        <v>-0.22692485581631752</v>
      </c>
      <c r="K297" s="395"/>
      <c r="L297" s="339">
        <f>+F297/M297</f>
        <v>0.5205847893264092</v>
      </c>
      <c r="M297" s="402">
        <f>100%-(M94/M86)</f>
        <v>0.030000000000000027</v>
      </c>
      <c r="N297" s="312" t="str">
        <f t="shared" si="14"/>
        <v>PADUA</v>
      </c>
      <c r="O297" s="334"/>
    </row>
    <row r="298" spans="1:15" s="345" customFormat="1" ht="15">
      <c r="A298" s="341"/>
      <c r="B298" s="373" t="s">
        <v>131</v>
      </c>
      <c r="C298" s="395"/>
      <c r="D298" s="398">
        <f>+'[8]IG 2015'!Y263</f>
        <v>0.03820843013634384</v>
      </c>
      <c r="E298" s="396"/>
      <c r="F298" s="398">
        <f>100%-(F95/F87)</f>
        <v>0.04239966555743413</v>
      </c>
      <c r="G298" s="401"/>
      <c r="H298" s="338">
        <f>+(F298-D298)/D298</f>
        <v>0.10969399700888491</v>
      </c>
      <c r="I298" s="395"/>
      <c r="J298" s="338">
        <v>-0.09050977802496485</v>
      </c>
      <c r="K298" s="395"/>
      <c r="L298" s="339">
        <f>+F298/M298</f>
        <v>1.4133221852478084</v>
      </c>
      <c r="M298" s="402">
        <f>100%-(M95/M87)</f>
        <v>0.029999999999999916</v>
      </c>
      <c r="N298" s="312" t="str">
        <f t="shared" si="14"/>
        <v>PALOCABILDO</v>
      </c>
      <c r="O298" s="334"/>
    </row>
    <row r="299" spans="1:15" s="345" customFormat="1" ht="15">
      <c r="A299" s="341"/>
      <c r="B299" s="373">
        <v>0</v>
      </c>
      <c r="C299" s="395"/>
      <c r="D299" s="305"/>
      <c r="E299" s="396"/>
      <c r="F299" s="397"/>
      <c r="G299" s="134"/>
      <c r="H299" s="339"/>
      <c r="I299" s="395"/>
      <c r="J299" s="339"/>
      <c r="K299" s="395"/>
      <c r="L299" s="398"/>
      <c r="M299" s="313"/>
      <c r="N299" s="312">
        <f t="shared" si="14"/>
        <v>0</v>
      </c>
      <c r="O299" s="334"/>
    </row>
    <row r="300" spans="1:15" s="345" customFormat="1" ht="15">
      <c r="A300" s="341"/>
      <c r="B300" s="387" t="s">
        <v>184</v>
      </c>
      <c r="C300" s="388"/>
      <c r="D300" s="418">
        <f>SUM(D301:D305)</f>
        <v>2088856</v>
      </c>
      <c r="E300" s="409"/>
      <c r="F300" s="419">
        <f>SUM(F301:F306)</f>
        <v>1776675</v>
      </c>
      <c r="G300" s="409"/>
      <c r="H300" s="387"/>
      <c r="I300" s="382"/>
      <c r="J300" s="387"/>
      <c r="K300" s="420"/>
      <c r="L300" s="387"/>
      <c r="M300" s="419">
        <f>SUM(M301:M305)</f>
        <v>2314150</v>
      </c>
      <c r="N300" s="378" t="str">
        <f t="shared" si="14"/>
        <v>VENTAS </v>
      </c>
      <c r="O300" s="334"/>
    </row>
    <row r="301" spans="1:15" s="345" customFormat="1" ht="15">
      <c r="A301" s="341"/>
      <c r="B301" s="373" t="s">
        <v>127</v>
      </c>
      <c r="C301" s="395"/>
      <c r="D301" s="421">
        <f>+'[8]IG 2015'!Y266</f>
        <v>333649</v>
      </c>
      <c r="E301" s="422"/>
      <c r="F301" s="423">
        <v>324815</v>
      </c>
      <c r="G301" s="422"/>
      <c r="H301" s="338">
        <f aca="true" t="shared" si="30" ref="H301:H306">+(F301-D301)/D301</f>
        <v>-0.026476926350745843</v>
      </c>
      <c r="I301" s="422"/>
      <c r="J301" s="338">
        <v>-0.8273604896163333</v>
      </c>
      <c r="K301" s="395"/>
      <c r="L301" s="339">
        <f>+F301/M301</f>
        <v>0.5670989293355752</v>
      </c>
      <c r="M301" s="423">
        <f>+'[8]CAFE'!Y35</f>
        <v>572766.0258159189</v>
      </c>
      <c r="N301" s="312" t="str">
        <f t="shared" si="14"/>
        <v>FRESNO</v>
      </c>
      <c r="O301" s="334"/>
    </row>
    <row r="302" spans="1:15" s="345" customFormat="1" ht="15">
      <c r="A302" s="341"/>
      <c r="B302" s="373" t="s">
        <v>128</v>
      </c>
      <c r="C302" s="395"/>
      <c r="D302" s="421">
        <f>+'[8]IG 2015'!Y267</f>
        <v>266991</v>
      </c>
      <c r="E302" s="422"/>
      <c r="F302" s="423">
        <v>96889</v>
      </c>
      <c r="G302" s="422"/>
      <c r="H302" s="338">
        <f t="shared" si="30"/>
        <v>-0.6371076178597781</v>
      </c>
      <c r="I302" s="422"/>
      <c r="J302" s="338">
        <v>-0.2846874988295486</v>
      </c>
      <c r="K302" s="395"/>
      <c r="L302" s="339">
        <f>+F302/M302</f>
        <v>0.28495768872206495</v>
      </c>
      <c r="M302" s="423">
        <f>+'[8]CAFE'!Y36</f>
        <v>340011.8818850374</v>
      </c>
      <c r="N302" s="312" t="str">
        <f t="shared" si="14"/>
        <v>FRIAS</v>
      </c>
      <c r="O302" s="334"/>
    </row>
    <row r="303" spans="1:15" s="345" customFormat="1" ht="15">
      <c r="A303" s="341"/>
      <c r="B303" s="373" t="s">
        <v>129</v>
      </c>
      <c r="C303" s="395"/>
      <c r="D303" s="421">
        <f>+'[8]IG 2015'!Y268</f>
        <v>616523</v>
      </c>
      <c r="E303" s="422"/>
      <c r="F303" s="423">
        <v>594034</v>
      </c>
      <c r="G303" s="422"/>
      <c r="H303" s="338">
        <f t="shared" si="30"/>
        <v>-0.036477146837993066</v>
      </c>
      <c r="I303" s="422"/>
      <c r="J303" s="338">
        <v>0.29545856358967953</v>
      </c>
      <c r="K303" s="395"/>
      <c r="L303" s="339">
        <f>+F303/M303</f>
        <v>1.0928938143412645</v>
      </c>
      <c r="M303" s="423">
        <f>+'[8]CAFE'!Y37</f>
        <v>543542.2839848815</v>
      </c>
      <c r="N303" s="312" t="str">
        <f t="shared" si="14"/>
        <v>HERVEO</v>
      </c>
      <c r="O303" s="334"/>
    </row>
    <row r="304" spans="1:15" s="345" customFormat="1" ht="15">
      <c r="A304" s="341"/>
      <c r="B304" s="373" t="s">
        <v>130</v>
      </c>
      <c r="C304" s="395"/>
      <c r="D304" s="421">
        <f>+'[8]IG 2015'!Y269</f>
        <v>200891</v>
      </c>
      <c r="E304" s="422"/>
      <c r="F304" s="423">
        <v>171486</v>
      </c>
      <c r="G304" s="422"/>
      <c r="H304" s="338">
        <f t="shared" si="30"/>
        <v>-0.14637290869177813</v>
      </c>
      <c r="I304" s="422"/>
      <c r="J304" s="338">
        <v>0.159116137606961</v>
      </c>
      <c r="K304" s="395"/>
      <c r="L304" s="339">
        <f>+F304/M304</f>
        <v>0.7389049928313774</v>
      </c>
      <c r="M304" s="423">
        <f>+'[8]CAFE'!Y38</f>
        <v>232081.25762270243</v>
      </c>
      <c r="N304" s="312" t="str">
        <f t="shared" si="14"/>
        <v>PADUA</v>
      </c>
      <c r="O304" s="334"/>
    </row>
    <row r="305" spans="1:15" s="345" customFormat="1" ht="15">
      <c r="A305" s="341"/>
      <c r="B305" s="373" t="s">
        <v>131</v>
      </c>
      <c r="C305" s="395"/>
      <c r="D305" s="421">
        <f>+'[8]IG 2015'!Y270</f>
        <v>670802</v>
      </c>
      <c r="E305" s="422"/>
      <c r="F305" s="423">
        <v>582866</v>
      </c>
      <c r="G305" s="422"/>
      <c r="H305" s="338">
        <f t="shared" si="30"/>
        <v>-0.13109084349778324</v>
      </c>
      <c r="I305" s="422"/>
      <c r="J305" s="338">
        <v>0.038459933035381526</v>
      </c>
      <c r="K305" s="395"/>
      <c r="L305" s="339">
        <f>+F305/M305</f>
        <v>0.9314699959846909</v>
      </c>
      <c r="M305" s="423">
        <f>+'[8]CAFE'!Y39</f>
        <v>625748.5506914596</v>
      </c>
      <c r="N305" s="312" t="str">
        <f t="shared" si="14"/>
        <v>PALOCABILDO</v>
      </c>
      <c r="O305" s="334"/>
    </row>
    <row r="306" spans="1:15" s="345" customFormat="1" ht="15">
      <c r="A306" s="341"/>
      <c r="B306" s="373" t="s">
        <v>540</v>
      </c>
      <c r="C306" s="395"/>
      <c r="D306" s="305"/>
      <c r="E306" s="396"/>
      <c r="F306" s="424">
        <v>6585</v>
      </c>
      <c r="G306" s="422"/>
      <c r="H306" s="338" t="e">
        <f t="shared" si="30"/>
        <v>#DIV/0!</v>
      </c>
      <c r="I306" s="422"/>
      <c r="J306" s="339"/>
      <c r="K306" s="395"/>
      <c r="L306" s="398"/>
      <c r="M306" s="313"/>
      <c r="N306" s="312" t="str">
        <f t="shared" si="14"/>
        <v>MARIQUITA</v>
      </c>
      <c r="O306" s="334"/>
    </row>
    <row r="307" spans="1:15" s="345" customFormat="1" ht="15">
      <c r="A307" s="341"/>
      <c r="B307" s="387" t="s">
        <v>557</v>
      </c>
      <c r="C307" s="388"/>
      <c r="D307" s="376"/>
      <c r="E307" s="390"/>
      <c r="F307" s="391"/>
      <c r="G307" s="392"/>
      <c r="H307" s="378"/>
      <c r="I307" s="388"/>
      <c r="J307" s="339"/>
      <c r="K307" s="388"/>
      <c r="L307" s="393"/>
      <c r="M307" s="394"/>
      <c r="N307" s="378" t="str">
        <f t="shared" si="14"/>
        <v>PRECIO VENTA PROMEDIO</v>
      </c>
      <c r="O307" s="334"/>
    </row>
    <row r="308" spans="1:15" s="345" customFormat="1" ht="15">
      <c r="A308" s="341"/>
      <c r="B308" s="373" t="s">
        <v>127</v>
      </c>
      <c r="C308" s="395"/>
      <c r="D308" s="305">
        <f>+'[8]IG 2015'!Y273</f>
        <v>746279.2444305243</v>
      </c>
      <c r="E308" s="396"/>
      <c r="F308" s="413">
        <f aca="true" t="shared" si="31" ref="F308:F313">+(F83/F301)*125</f>
        <v>854450.3882979542</v>
      </c>
      <c r="G308" s="396"/>
      <c r="H308" s="338">
        <f aca="true" t="shared" si="32" ref="H308:H313">+(F308-D308)/D308</f>
        <v>0.14494727633752413</v>
      </c>
      <c r="I308" s="395"/>
      <c r="J308" s="338">
        <v>0.07541311761051352</v>
      </c>
      <c r="K308" s="395"/>
      <c r="L308" s="339">
        <f aca="true" t="shared" si="33" ref="L308:L313">+F308/M308</f>
        <v>1.1392671843972717</v>
      </c>
      <c r="M308" s="414">
        <f aca="true" t="shared" si="34" ref="M308:M313">+(M83/M301)*125</f>
        <v>750000.0000000003</v>
      </c>
      <c r="N308" s="312" t="str">
        <f t="shared" si="14"/>
        <v>FRESNO</v>
      </c>
      <c r="O308" s="334"/>
    </row>
    <row r="309" spans="1:15" s="345" customFormat="1" ht="15">
      <c r="A309" s="341"/>
      <c r="B309" s="373" t="s">
        <v>128</v>
      </c>
      <c r="C309" s="395"/>
      <c r="D309" s="305">
        <f>+'[8]IG 2015'!Y274</f>
        <v>711228.6289612758</v>
      </c>
      <c r="E309" s="396"/>
      <c r="F309" s="413">
        <f t="shared" si="31"/>
        <v>801977.8419118786</v>
      </c>
      <c r="G309" s="396"/>
      <c r="H309" s="338">
        <f t="shared" si="32"/>
        <v>0.12759499442976413</v>
      </c>
      <c r="I309" s="395"/>
      <c r="J309" s="338">
        <v>0.02984782684054698</v>
      </c>
      <c r="K309" s="395"/>
      <c r="L309" s="339">
        <f t="shared" si="33"/>
        <v>1.0693037892158381</v>
      </c>
      <c r="M309" s="414">
        <f t="shared" si="34"/>
        <v>750000</v>
      </c>
      <c r="N309" s="312" t="str">
        <f t="shared" si="14"/>
        <v>FRIAS</v>
      </c>
      <c r="O309" s="334"/>
    </row>
    <row r="310" spans="1:15" s="345" customFormat="1" ht="15">
      <c r="A310" s="341"/>
      <c r="B310" s="373" t="s">
        <v>129</v>
      </c>
      <c r="C310" s="395"/>
      <c r="D310" s="305">
        <f>+'[8]IG 2015'!Y275</f>
        <v>728449.9051535791</v>
      </c>
      <c r="E310" s="396"/>
      <c r="F310" s="413">
        <f t="shared" si="31"/>
        <v>785036.3443001579</v>
      </c>
      <c r="G310" s="396"/>
      <c r="H310" s="338">
        <f t="shared" si="32"/>
        <v>0.07768061845604697</v>
      </c>
      <c r="I310" s="395"/>
      <c r="J310" s="338">
        <v>0.052783183691228135</v>
      </c>
      <c r="K310" s="395"/>
      <c r="L310" s="339">
        <f t="shared" si="33"/>
        <v>1.0467151257335436</v>
      </c>
      <c r="M310" s="414">
        <f t="shared" si="34"/>
        <v>750000.0000000001</v>
      </c>
      <c r="N310" s="312" t="str">
        <f t="shared" si="14"/>
        <v>HERVEO</v>
      </c>
      <c r="O310" s="334"/>
    </row>
    <row r="311" spans="1:15" s="345" customFormat="1" ht="15">
      <c r="A311" s="341"/>
      <c r="B311" s="373" t="s">
        <v>130</v>
      </c>
      <c r="C311" s="395"/>
      <c r="D311" s="305">
        <f>+'[8]IG 2015'!Y276</f>
        <v>719283.9101801475</v>
      </c>
      <c r="E311" s="396"/>
      <c r="F311" s="413">
        <f t="shared" si="31"/>
        <v>820327.9254574717</v>
      </c>
      <c r="G311" s="396"/>
      <c r="H311" s="338">
        <f t="shared" si="32"/>
        <v>0.14047862582108556</v>
      </c>
      <c r="I311" s="395"/>
      <c r="J311" s="338">
        <v>0.040712588959223674</v>
      </c>
      <c r="K311" s="395"/>
      <c r="L311" s="339">
        <f t="shared" si="33"/>
        <v>1.093770567276629</v>
      </c>
      <c r="M311" s="414">
        <f t="shared" si="34"/>
        <v>750000</v>
      </c>
      <c r="N311" s="312" t="str">
        <f t="shared" si="14"/>
        <v>PADUA</v>
      </c>
      <c r="O311" s="334"/>
    </row>
    <row r="312" spans="1:15" s="345" customFormat="1" ht="15">
      <c r="A312" s="341"/>
      <c r="B312" s="373" t="s">
        <v>131</v>
      </c>
      <c r="C312" s="395"/>
      <c r="D312" s="305">
        <f>+'[8]IG 2015'!Y277</f>
        <v>721886.8199930829</v>
      </c>
      <c r="E312" s="396"/>
      <c r="F312" s="413">
        <f t="shared" si="31"/>
        <v>824015.8756472329</v>
      </c>
      <c r="G312" s="396"/>
      <c r="H312" s="338">
        <f t="shared" si="32"/>
        <v>0.14147516317741965</v>
      </c>
      <c r="I312" s="395"/>
      <c r="J312" s="338">
        <v>0.04417149490745438</v>
      </c>
      <c r="K312" s="395"/>
      <c r="L312" s="339">
        <f t="shared" si="33"/>
        <v>1.0986878341963102</v>
      </c>
      <c r="M312" s="414">
        <f t="shared" si="34"/>
        <v>750000.0000000002</v>
      </c>
      <c r="N312" s="312" t="str">
        <f t="shared" si="14"/>
        <v>PALOCABILDO</v>
      </c>
      <c r="O312" s="334"/>
    </row>
    <row r="313" spans="1:15" s="345" customFormat="1" ht="15">
      <c r="A313" s="341"/>
      <c r="B313" s="373" t="s">
        <v>540</v>
      </c>
      <c r="C313" s="395"/>
      <c r="D313" s="305">
        <f>+'[8]IG 2015'!Y278</f>
        <v>0</v>
      </c>
      <c r="E313" s="396"/>
      <c r="F313" s="413">
        <f t="shared" si="31"/>
        <v>410024.67729688686</v>
      </c>
      <c r="G313" s="396"/>
      <c r="H313" s="338" t="e">
        <f t="shared" si="32"/>
        <v>#DIV/0!</v>
      </c>
      <c r="I313" s="395"/>
      <c r="J313" s="338">
        <v>0.04417149490745438</v>
      </c>
      <c r="K313" s="395"/>
      <c r="L313" s="339" t="e">
        <f t="shared" si="33"/>
        <v>#DIV/0!</v>
      </c>
      <c r="M313" s="414" t="e">
        <f t="shared" si="34"/>
        <v>#DIV/0!</v>
      </c>
      <c r="N313" s="312" t="str">
        <f t="shared" si="14"/>
        <v>MARIQUITA</v>
      </c>
      <c r="O313" s="334"/>
    </row>
    <row r="314" spans="1:15" s="345" customFormat="1" ht="15">
      <c r="A314" s="341"/>
      <c r="B314" s="373">
        <v>0</v>
      </c>
      <c r="C314" s="395"/>
      <c r="D314" s="305"/>
      <c r="E314" s="396"/>
      <c r="F314" s="397"/>
      <c r="G314" s="134"/>
      <c r="H314" s="339"/>
      <c r="I314" s="395"/>
      <c r="J314" s="339"/>
      <c r="K314" s="395"/>
      <c r="L314" s="398"/>
      <c r="M314" s="313"/>
      <c r="N314" s="312">
        <f t="shared" si="14"/>
        <v>0</v>
      </c>
      <c r="O314" s="334"/>
    </row>
    <row r="315" spans="1:15" s="345" customFormat="1" ht="15">
      <c r="A315" s="341"/>
      <c r="B315" s="387" t="s">
        <v>558</v>
      </c>
      <c r="C315" s="388"/>
      <c r="D315" s="376"/>
      <c r="E315" s="390"/>
      <c r="F315" s="391"/>
      <c r="G315" s="392"/>
      <c r="H315" s="378"/>
      <c r="I315" s="388"/>
      <c r="J315" s="339"/>
      <c r="K315" s="388"/>
      <c r="L315" s="393"/>
      <c r="M315" s="394"/>
      <c r="N315" s="378" t="str">
        <f t="shared" si="14"/>
        <v>COSTO DE VENTA PROMEDIO</v>
      </c>
      <c r="O315" s="334"/>
    </row>
    <row r="316" spans="1:15" s="345" customFormat="1" ht="15">
      <c r="A316" s="341"/>
      <c r="B316" s="373" t="s">
        <v>127</v>
      </c>
      <c r="C316" s="395"/>
      <c r="D316" s="305">
        <f>+'[8]IG 2015'!Y280</f>
        <v>720419.2979336069</v>
      </c>
      <c r="E316" s="396"/>
      <c r="F316" s="413">
        <f aca="true" t="shared" si="35" ref="F316:F321">+(F91/F301)*125</f>
        <v>832474.9261117866</v>
      </c>
      <c r="G316" s="396"/>
      <c r="H316" s="338">
        <f aca="true" t="shared" si="36" ref="H316:H321">+(F316-D316)/D316</f>
        <v>0.15554223561138789</v>
      </c>
      <c r="I316" s="395"/>
      <c r="J316" s="338">
        <v>0.08053545775359545</v>
      </c>
      <c r="K316" s="395"/>
      <c r="L316" s="339">
        <f aca="true" t="shared" si="37" ref="L316:L321">+F316/M316</f>
        <v>1.1442954310814932</v>
      </c>
      <c r="M316" s="414">
        <f aca="true" t="shared" si="38" ref="M316:M321">+(M91/M301)*125</f>
        <v>727500.0000000002</v>
      </c>
      <c r="N316" s="312" t="str">
        <f t="shared" si="14"/>
        <v>FRESNO</v>
      </c>
      <c r="O316" s="334"/>
    </row>
    <row r="317" spans="1:15" s="345" customFormat="1" ht="15">
      <c r="A317" s="341"/>
      <c r="B317" s="373" t="s">
        <v>128</v>
      </c>
      <c r="C317" s="395"/>
      <c r="D317" s="305">
        <f>+'[8]IG 2015'!Y281</f>
        <v>698109.6244817241</v>
      </c>
      <c r="E317" s="396"/>
      <c r="F317" s="413">
        <f t="shared" si="35"/>
        <v>779847.5201003209</v>
      </c>
      <c r="G317" s="396"/>
      <c r="H317" s="338">
        <f t="shared" si="36"/>
        <v>0.1170846135795348</v>
      </c>
      <c r="I317" s="395"/>
      <c r="J317" s="338">
        <v>0.05115188679462023</v>
      </c>
      <c r="K317" s="395"/>
      <c r="L317" s="339">
        <f t="shared" si="37"/>
        <v>1.0719553540897881</v>
      </c>
      <c r="M317" s="414">
        <f t="shared" si="38"/>
        <v>727500</v>
      </c>
      <c r="N317" s="312" t="str">
        <f t="shared" si="14"/>
        <v>FRIAS</v>
      </c>
      <c r="O317" s="334"/>
    </row>
    <row r="318" spans="1:15" s="345" customFormat="1" ht="15">
      <c r="A318" s="341"/>
      <c r="B318" s="373" t="s">
        <v>129</v>
      </c>
      <c r="C318" s="395"/>
      <c r="D318" s="305">
        <f>+'[8]IG 2015'!Y282</f>
        <v>699821.3829816568</v>
      </c>
      <c r="E318" s="396"/>
      <c r="F318" s="413">
        <f t="shared" si="35"/>
        <v>777583.8952400031</v>
      </c>
      <c r="G318" s="396"/>
      <c r="H318" s="338">
        <f t="shared" si="36"/>
        <v>0.1111176568041285</v>
      </c>
      <c r="I318" s="395"/>
      <c r="J318" s="338">
        <v>0.053472763038790706</v>
      </c>
      <c r="K318" s="395"/>
      <c r="L318" s="339">
        <f t="shared" si="37"/>
        <v>1.0688438422543</v>
      </c>
      <c r="M318" s="414">
        <f t="shared" si="38"/>
        <v>727499.9999999999</v>
      </c>
      <c r="N318" s="312" t="str">
        <f t="shared" si="14"/>
        <v>HERVEO</v>
      </c>
      <c r="O318" s="334"/>
    </row>
    <row r="319" spans="1:15" s="345" customFormat="1" ht="15">
      <c r="A319" s="341"/>
      <c r="B319" s="373" t="s">
        <v>130</v>
      </c>
      <c r="C319" s="395"/>
      <c r="D319" s="305">
        <f>+'[8]IG 2015'!Y283</f>
        <v>695659.1559601972</v>
      </c>
      <c r="E319" s="396"/>
      <c r="F319" s="413">
        <f t="shared" si="35"/>
        <v>807516.4182498864</v>
      </c>
      <c r="G319" s="396"/>
      <c r="H319" s="338">
        <f t="shared" si="36"/>
        <v>0.16079320070947098</v>
      </c>
      <c r="I319" s="395"/>
      <c r="J319" s="338">
        <v>0.047809556842949345</v>
      </c>
      <c r="K319" s="395"/>
      <c r="L319" s="339">
        <f t="shared" si="37"/>
        <v>1.1099882037799125</v>
      </c>
      <c r="M319" s="414">
        <f t="shared" si="38"/>
        <v>727500</v>
      </c>
      <c r="N319" s="312" t="str">
        <f t="shared" si="14"/>
        <v>PADUA</v>
      </c>
      <c r="O319" s="334"/>
    </row>
    <row r="320" spans="1:15" s="345" customFormat="1" ht="15.75" thickBot="1">
      <c r="A320" s="425"/>
      <c r="B320" s="426" t="s">
        <v>131</v>
      </c>
      <c r="C320" s="427"/>
      <c r="D320" s="428">
        <f>+'[8]IG 2015'!Y284</f>
        <v>695319.7441271791</v>
      </c>
      <c r="E320" s="429"/>
      <c r="F320" s="430">
        <f t="shared" si="35"/>
        <v>789077.8781057738</v>
      </c>
      <c r="G320" s="429"/>
      <c r="H320" s="338">
        <f t="shared" si="36"/>
        <v>0.13484175412894017</v>
      </c>
      <c r="I320" s="427"/>
      <c r="J320" s="431">
        <v>0.04734475671836795</v>
      </c>
      <c r="K320" s="427"/>
      <c r="L320" s="432">
        <f t="shared" si="37"/>
        <v>1.084643131416871</v>
      </c>
      <c r="M320" s="433">
        <f t="shared" si="38"/>
        <v>727500.0000000002</v>
      </c>
      <c r="N320" s="434" t="str">
        <f t="shared" si="14"/>
        <v>PALOCABILDO</v>
      </c>
      <c r="O320" s="435"/>
    </row>
    <row r="321" spans="1:15" s="345" customFormat="1" ht="15.75" thickBot="1">
      <c r="A321" s="425"/>
      <c r="B321" s="426" t="s">
        <v>540</v>
      </c>
      <c r="C321" s="427"/>
      <c r="D321" s="428">
        <f>+'[8]IG 2015'!Y285</f>
        <v>0</v>
      </c>
      <c r="E321" s="429"/>
      <c r="F321" s="430">
        <f t="shared" si="35"/>
        <v>378865.053151101</v>
      </c>
      <c r="G321" s="429"/>
      <c r="H321" s="338" t="e">
        <f t="shared" si="36"/>
        <v>#DIV/0!</v>
      </c>
      <c r="I321" s="427"/>
      <c r="J321" s="431">
        <v>0.04734475671836795</v>
      </c>
      <c r="K321" s="427"/>
      <c r="L321" s="432" t="e">
        <f t="shared" si="37"/>
        <v>#DIV/0!</v>
      </c>
      <c r="M321" s="433" t="e">
        <f t="shared" si="38"/>
        <v>#DIV/0!</v>
      </c>
      <c r="N321" s="434" t="str">
        <f t="shared" si="14"/>
        <v>MARIQUITA</v>
      </c>
      <c r="O321" s="435"/>
    </row>
    <row r="322" spans="4:14" s="345" customFormat="1" ht="15">
      <c r="D322" s="365"/>
      <c r="E322" s="131"/>
      <c r="F322" s="132"/>
      <c r="G322" s="132"/>
      <c r="H322" s="342"/>
      <c r="J322" s="342"/>
      <c r="L322" s="342"/>
      <c r="M322" s="342"/>
      <c r="N322" s="436"/>
    </row>
    <row r="323" spans="4:14" s="345" customFormat="1" ht="15">
      <c r="D323" s="365"/>
      <c r="E323" s="131"/>
      <c r="F323" s="132"/>
      <c r="G323" s="132"/>
      <c r="H323" s="342"/>
      <c r="J323" s="342"/>
      <c r="L323" s="342"/>
      <c r="M323" s="342"/>
      <c r="N323" s="436"/>
    </row>
    <row r="324" spans="4:14" s="345" customFormat="1" ht="15">
      <c r="D324" s="365"/>
      <c r="E324" s="131"/>
      <c r="F324" s="132"/>
      <c r="G324" s="132"/>
      <c r="H324" s="342"/>
      <c r="J324" s="342"/>
      <c r="L324" s="342"/>
      <c r="M324" s="342"/>
      <c r="N324" s="436"/>
    </row>
    <row r="325" spans="4:14" s="345" customFormat="1" ht="15">
      <c r="D325" s="365"/>
      <c r="E325" s="131"/>
      <c r="F325" s="132"/>
      <c r="G325" s="132"/>
      <c r="H325" s="342"/>
      <c r="J325" s="342"/>
      <c r="L325" s="342"/>
      <c r="M325" s="342"/>
      <c r="N325" s="436"/>
    </row>
    <row r="326" spans="4:14" s="345" customFormat="1" ht="15">
      <c r="D326" s="365"/>
      <c r="E326" s="131"/>
      <c r="F326" s="132"/>
      <c r="G326" s="132"/>
      <c r="H326" s="342"/>
      <c r="J326" s="342"/>
      <c r="L326" s="342"/>
      <c r="M326" s="342"/>
      <c r="N326" s="436"/>
    </row>
    <row r="327" spans="4:14" s="345" customFormat="1" ht="15">
      <c r="D327" s="365"/>
      <c r="E327" s="131"/>
      <c r="F327" s="132"/>
      <c r="G327" s="132"/>
      <c r="H327" s="342"/>
      <c r="J327" s="342"/>
      <c r="L327" s="342"/>
      <c r="M327" s="342"/>
      <c r="N327" s="436"/>
    </row>
    <row r="328" spans="4:14" s="345" customFormat="1" ht="15">
      <c r="D328" s="365"/>
      <c r="E328" s="131"/>
      <c r="F328" s="132"/>
      <c r="G328" s="132"/>
      <c r="H328" s="342"/>
      <c r="J328" s="342"/>
      <c r="L328" s="342"/>
      <c r="M328" s="342"/>
      <c r="N328" s="436"/>
    </row>
    <row r="329" spans="4:14" s="345" customFormat="1" ht="15">
      <c r="D329" s="365"/>
      <c r="E329" s="131"/>
      <c r="F329" s="132"/>
      <c r="G329" s="132"/>
      <c r="H329" s="342"/>
      <c r="J329" s="342"/>
      <c r="L329" s="342"/>
      <c r="M329" s="342"/>
      <c r="N329" s="436"/>
    </row>
    <row r="330" spans="4:14" s="345" customFormat="1" ht="15">
      <c r="D330" s="365"/>
      <c r="E330" s="131"/>
      <c r="F330" s="132"/>
      <c r="G330" s="132"/>
      <c r="H330" s="342"/>
      <c r="J330" s="342"/>
      <c r="L330" s="342"/>
      <c r="M330" s="342"/>
      <c r="N330" s="436"/>
    </row>
    <row r="331" spans="4:14" s="345" customFormat="1" ht="15">
      <c r="D331" s="365"/>
      <c r="E331" s="131"/>
      <c r="F331" s="132"/>
      <c r="G331" s="132"/>
      <c r="H331" s="342"/>
      <c r="J331" s="342"/>
      <c r="L331" s="342"/>
      <c r="M331" s="342"/>
      <c r="N331" s="436"/>
    </row>
    <row r="332" spans="4:14" s="345" customFormat="1" ht="15">
      <c r="D332" s="365"/>
      <c r="E332" s="131"/>
      <c r="F332" s="132"/>
      <c r="G332" s="132"/>
      <c r="H332" s="342"/>
      <c r="J332" s="342"/>
      <c r="L332" s="342"/>
      <c r="M332" s="342"/>
      <c r="N332" s="436"/>
    </row>
    <row r="333" spans="4:14" s="345" customFormat="1" ht="15">
      <c r="D333" s="365"/>
      <c r="E333" s="131"/>
      <c r="F333" s="132"/>
      <c r="G333" s="132"/>
      <c r="H333" s="342"/>
      <c r="J333" s="342"/>
      <c r="L333" s="342"/>
      <c r="M333" s="342"/>
      <c r="N333" s="436"/>
    </row>
    <row r="334" spans="4:14" s="345" customFormat="1" ht="15">
      <c r="D334" s="365"/>
      <c r="E334" s="131"/>
      <c r="F334" s="132"/>
      <c r="G334" s="132"/>
      <c r="H334" s="342"/>
      <c r="J334" s="342"/>
      <c r="L334" s="342"/>
      <c r="M334" s="342"/>
      <c r="N334" s="436"/>
    </row>
    <row r="335" spans="4:14" s="345" customFormat="1" ht="15">
      <c r="D335" s="365"/>
      <c r="E335" s="131"/>
      <c r="F335" s="132"/>
      <c r="G335" s="132"/>
      <c r="H335" s="342"/>
      <c r="J335" s="342"/>
      <c r="L335" s="342"/>
      <c r="M335" s="342"/>
      <c r="N335" s="436"/>
    </row>
    <row r="336" spans="4:14" s="345" customFormat="1" ht="15">
      <c r="D336" s="365"/>
      <c r="E336" s="131"/>
      <c r="F336" s="132"/>
      <c r="G336" s="132"/>
      <c r="H336" s="342"/>
      <c r="J336" s="342"/>
      <c r="L336" s="342"/>
      <c r="M336" s="342"/>
      <c r="N336" s="436"/>
    </row>
    <row r="337" spans="4:14" s="345" customFormat="1" ht="15">
      <c r="D337" s="365"/>
      <c r="E337" s="131"/>
      <c r="F337" s="132"/>
      <c r="G337" s="132"/>
      <c r="H337" s="342"/>
      <c r="J337" s="342"/>
      <c r="L337" s="342"/>
      <c r="M337" s="342"/>
      <c r="N337" s="436"/>
    </row>
    <row r="338" spans="4:14" s="345" customFormat="1" ht="15">
      <c r="D338" s="365"/>
      <c r="E338" s="131"/>
      <c r="F338" s="132"/>
      <c r="G338" s="132"/>
      <c r="H338" s="342"/>
      <c r="J338" s="342"/>
      <c r="L338" s="342"/>
      <c r="M338" s="342"/>
      <c r="N338" s="436"/>
    </row>
    <row r="339" spans="4:14" s="345" customFormat="1" ht="15">
      <c r="D339" s="365"/>
      <c r="E339" s="131"/>
      <c r="F339" s="132"/>
      <c r="G339" s="132"/>
      <c r="H339" s="342"/>
      <c r="J339" s="342"/>
      <c r="L339" s="342"/>
      <c r="M339" s="342"/>
      <c r="N339" s="436"/>
    </row>
    <row r="340" spans="4:14" s="345" customFormat="1" ht="15">
      <c r="D340" s="365"/>
      <c r="E340" s="131"/>
      <c r="F340" s="132"/>
      <c r="G340" s="132"/>
      <c r="H340" s="342"/>
      <c r="J340" s="342"/>
      <c r="L340" s="342"/>
      <c r="M340" s="342"/>
      <c r="N340" s="436"/>
    </row>
    <row r="341" spans="4:14" s="345" customFormat="1" ht="15">
      <c r="D341" s="365"/>
      <c r="E341" s="131"/>
      <c r="F341" s="132"/>
      <c r="G341" s="132"/>
      <c r="H341" s="342"/>
      <c r="J341" s="342"/>
      <c r="L341" s="342"/>
      <c r="M341" s="342"/>
      <c r="N341" s="436"/>
    </row>
    <row r="342" spans="4:14" s="345" customFormat="1" ht="15">
      <c r="D342" s="365"/>
      <c r="E342" s="131"/>
      <c r="F342" s="132"/>
      <c r="G342" s="132"/>
      <c r="H342" s="342"/>
      <c r="J342" s="342"/>
      <c r="L342" s="342"/>
      <c r="M342" s="342"/>
      <c r="N342" s="436"/>
    </row>
    <row r="343" spans="4:14" s="345" customFormat="1" ht="15">
      <c r="D343" s="365"/>
      <c r="E343" s="131"/>
      <c r="F343" s="132"/>
      <c r="G343" s="132"/>
      <c r="H343" s="342"/>
      <c r="J343" s="342"/>
      <c r="L343" s="342"/>
      <c r="M343" s="342"/>
      <c r="N343" s="436"/>
    </row>
    <row r="344" spans="4:14" s="345" customFormat="1" ht="15">
      <c r="D344" s="365"/>
      <c r="E344" s="131"/>
      <c r="F344" s="132"/>
      <c r="G344" s="132"/>
      <c r="H344" s="342"/>
      <c r="J344" s="342"/>
      <c r="L344" s="342"/>
      <c r="M344" s="342"/>
      <c r="N344" s="436"/>
    </row>
    <row r="345" spans="4:14" s="345" customFormat="1" ht="15">
      <c r="D345" s="365"/>
      <c r="E345" s="131"/>
      <c r="F345" s="132"/>
      <c r="G345" s="132"/>
      <c r="H345" s="342"/>
      <c r="J345" s="342"/>
      <c r="L345" s="342"/>
      <c r="M345" s="342"/>
      <c r="N345" s="436"/>
    </row>
    <row r="346" spans="4:14" s="345" customFormat="1" ht="15">
      <c r="D346" s="365"/>
      <c r="E346" s="131"/>
      <c r="F346" s="132"/>
      <c r="G346" s="132"/>
      <c r="H346" s="342"/>
      <c r="J346" s="342"/>
      <c r="L346" s="342"/>
      <c r="M346" s="342"/>
      <c r="N346" s="436"/>
    </row>
    <row r="347" spans="4:14" s="345" customFormat="1" ht="15">
      <c r="D347" s="365"/>
      <c r="E347" s="131"/>
      <c r="F347" s="132"/>
      <c r="G347" s="132"/>
      <c r="H347" s="342"/>
      <c r="J347" s="342"/>
      <c r="L347" s="342"/>
      <c r="M347" s="342"/>
      <c r="N347" s="436"/>
    </row>
    <row r="348" spans="4:14" s="345" customFormat="1" ht="15">
      <c r="D348" s="365"/>
      <c r="E348" s="131"/>
      <c r="F348" s="132"/>
      <c r="G348" s="132"/>
      <c r="H348" s="342"/>
      <c r="J348" s="342"/>
      <c r="L348" s="342"/>
      <c r="M348" s="342"/>
      <c r="N348" s="436"/>
    </row>
    <row r="349" spans="4:14" s="345" customFormat="1" ht="15">
      <c r="D349" s="365"/>
      <c r="E349" s="131"/>
      <c r="F349" s="132"/>
      <c r="G349" s="132"/>
      <c r="H349" s="342"/>
      <c r="J349" s="342"/>
      <c r="L349" s="342"/>
      <c r="M349" s="342"/>
      <c r="N349" s="436"/>
    </row>
    <row r="350" spans="4:14" s="345" customFormat="1" ht="15">
      <c r="D350" s="365"/>
      <c r="E350" s="131"/>
      <c r="F350" s="132"/>
      <c r="G350" s="132"/>
      <c r="H350" s="342"/>
      <c r="J350" s="342"/>
      <c r="L350" s="342"/>
      <c r="M350" s="342"/>
      <c r="N350" s="436"/>
    </row>
    <row r="351" spans="4:14" s="345" customFormat="1" ht="15">
      <c r="D351" s="365"/>
      <c r="E351" s="131"/>
      <c r="F351" s="132"/>
      <c r="G351" s="132"/>
      <c r="H351" s="342"/>
      <c r="J351" s="342"/>
      <c r="L351" s="342"/>
      <c r="M351" s="342"/>
      <c r="N351" s="436"/>
    </row>
    <row r="352" spans="4:14" s="345" customFormat="1" ht="15">
      <c r="D352" s="365"/>
      <c r="E352" s="131"/>
      <c r="F352" s="132"/>
      <c r="G352" s="132"/>
      <c r="H352" s="342"/>
      <c r="J352" s="342"/>
      <c r="L352" s="342"/>
      <c r="M352" s="342"/>
      <c r="N352" s="436"/>
    </row>
    <row r="353" spans="4:14" s="345" customFormat="1" ht="15">
      <c r="D353" s="365"/>
      <c r="E353" s="131"/>
      <c r="F353" s="132"/>
      <c r="G353" s="132"/>
      <c r="H353" s="342"/>
      <c r="J353" s="342"/>
      <c r="L353" s="342"/>
      <c r="M353" s="342"/>
      <c r="N353" s="436"/>
    </row>
    <row r="354" spans="4:14" s="345" customFormat="1" ht="15">
      <c r="D354" s="365"/>
      <c r="E354" s="131"/>
      <c r="F354" s="132"/>
      <c r="G354" s="132"/>
      <c r="H354" s="342"/>
      <c r="J354" s="342"/>
      <c r="L354" s="342"/>
      <c r="M354" s="342"/>
      <c r="N354" s="436"/>
    </row>
    <row r="355" spans="4:14" s="345" customFormat="1" ht="15">
      <c r="D355" s="365"/>
      <c r="E355" s="131"/>
      <c r="F355" s="132"/>
      <c r="G355" s="132"/>
      <c r="H355" s="342"/>
      <c r="J355" s="342"/>
      <c r="L355" s="342"/>
      <c r="M355" s="342"/>
      <c r="N355" s="436"/>
    </row>
    <row r="356" spans="4:14" s="345" customFormat="1" ht="15">
      <c r="D356" s="365"/>
      <c r="E356" s="131"/>
      <c r="F356" s="132"/>
      <c r="G356" s="132"/>
      <c r="H356" s="342"/>
      <c r="J356" s="342"/>
      <c r="L356" s="342"/>
      <c r="M356" s="342"/>
      <c r="N356" s="436"/>
    </row>
    <row r="357" spans="4:14" s="345" customFormat="1" ht="15">
      <c r="D357" s="365"/>
      <c r="E357" s="131"/>
      <c r="F357" s="132"/>
      <c r="G357" s="132"/>
      <c r="H357" s="342"/>
      <c r="J357" s="342"/>
      <c r="L357" s="342"/>
      <c r="M357" s="342"/>
      <c r="N357" s="436"/>
    </row>
    <row r="358" spans="4:14" s="345" customFormat="1" ht="15">
      <c r="D358" s="365"/>
      <c r="E358" s="131"/>
      <c r="F358" s="132"/>
      <c r="G358" s="132"/>
      <c r="H358" s="342"/>
      <c r="J358" s="342"/>
      <c r="L358" s="342"/>
      <c r="M358" s="342"/>
      <c r="N358" s="436"/>
    </row>
    <row r="359" spans="4:14" s="345" customFormat="1" ht="15">
      <c r="D359" s="365"/>
      <c r="E359" s="131"/>
      <c r="F359" s="132"/>
      <c r="G359" s="132"/>
      <c r="H359" s="342"/>
      <c r="J359" s="342"/>
      <c r="L359" s="342"/>
      <c r="M359" s="342"/>
      <c r="N359" s="436"/>
    </row>
    <row r="360" spans="4:14" s="345" customFormat="1" ht="15">
      <c r="D360" s="365"/>
      <c r="E360" s="131"/>
      <c r="F360" s="132"/>
      <c r="G360" s="132"/>
      <c r="H360" s="342"/>
      <c r="J360" s="342"/>
      <c r="L360" s="342"/>
      <c r="M360" s="342"/>
      <c r="N360" s="436"/>
    </row>
    <row r="361" spans="4:14" s="345" customFormat="1" ht="15">
      <c r="D361" s="365"/>
      <c r="E361" s="131"/>
      <c r="F361" s="132"/>
      <c r="G361" s="132"/>
      <c r="H361" s="342"/>
      <c r="J361" s="342"/>
      <c r="L361" s="342"/>
      <c r="M361" s="342"/>
      <c r="N361" s="436"/>
    </row>
    <row r="362" spans="4:14" s="345" customFormat="1" ht="15">
      <c r="D362" s="365"/>
      <c r="E362" s="131"/>
      <c r="F362" s="132"/>
      <c r="G362" s="132"/>
      <c r="H362" s="342"/>
      <c r="J362" s="342"/>
      <c r="L362" s="342"/>
      <c r="M362" s="342"/>
      <c r="N362" s="436"/>
    </row>
    <row r="363" spans="4:14" s="345" customFormat="1" ht="15">
      <c r="D363" s="365"/>
      <c r="E363" s="131"/>
      <c r="F363" s="132"/>
      <c r="G363" s="132"/>
      <c r="H363" s="342"/>
      <c r="J363" s="342"/>
      <c r="L363" s="342"/>
      <c r="M363" s="342"/>
      <c r="N363" s="436"/>
    </row>
    <row r="364" spans="4:14" s="345" customFormat="1" ht="15">
      <c r="D364" s="365"/>
      <c r="E364" s="131"/>
      <c r="F364" s="132"/>
      <c r="G364" s="132"/>
      <c r="H364" s="342"/>
      <c r="J364" s="342"/>
      <c r="L364" s="342"/>
      <c r="M364" s="342"/>
      <c r="N364" s="436"/>
    </row>
    <row r="365" spans="4:14" s="345" customFormat="1" ht="15">
      <c r="D365" s="365"/>
      <c r="E365" s="131"/>
      <c r="F365" s="132"/>
      <c r="G365" s="132"/>
      <c r="H365" s="342"/>
      <c r="J365" s="342"/>
      <c r="L365" s="342"/>
      <c r="M365" s="342"/>
      <c r="N365" s="436"/>
    </row>
    <row r="366" spans="4:14" s="345" customFormat="1" ht="15">
      <c r="D366" s="365"/>
      <c r="E366" s="131"/>
      <c r="F366" s="132"/>
      <c r="G366" s="132"/>
      <c r="H366" s="342"/>
      <c r="J366" s="342"/>
      <c r="L366" s="342"/>
      <c r="M366" s="342"/>
      <c r="N366" s="436"/>
    </row>
    <row r="367" spans="4:14" s="345" customFormat="1" ht="15">
      <c r="D367" s="365"/>
      <c r="E367" s="131"/>
      <c r="F367" s="132"/>
      <c r="G367" s="132"/>
      <c r="H367" s="342"/>
      <c r="J367" s="342"/>
      <c r="L367" s="342"/>
      <c r="M367" s="342"/>
      <c r="N367" s="436"/>
    </row>
    <row r="368" spans="4:14" s="345" customFormat="1" ht="15">
      <c r="D368" s="365"/>
      <c r="E368" s="131"/>
      <c r="F368" s="132"/>
      <c r="G368" s="132"/>
      <c r="H368" s="342"/>
      <c r="J368" s="342"/>
      <c r="L368" s="342"/>
      <c r="M368" s="342"/>
      <c r="N368" s="436"/>
    </row>
    <row r="369" spans="4:14" s="59" customFormat="1" ht="15">
      <c r="D369" s="437"/>
      <c r="E369" s="60"/>
      <c r="F369" s="438"/>
      <c r="G369" s="438"/>
      <c r="H369" s="57"/>
      <c r="J369" s="57"/>
      <c r="L369" s="62"/>
      <c r="M369" s="62"/>
      <c r="N369" s="439"/>
    </row>
    <row r="370" spans="4:14" s="59" customFormat="1" ht="15">
      <c r="D370" s="437"/>
      <c r="E370" s="60"/>
      <c r="F370" s="438"/>
      <c r="G370" s="438"/>
      <c r="H370" s="57"/>
      <c r="J370" s="57"/>
      <c r="L370" s="62"/>
      <c r="M370" s="62"/>
      <c r="N370" s="439"/>
    </row>
    <row r="371" spans="4:14" s="59" customFormat="1" ht="15">
      <c r="D371" s="437"/>
      <c r="E371" s="60"/>
      <c r="F371" s="438"/>
      <c r="G371" s="438"/>
      <c r="H371" s="57"/>
      <c r="J371" s="57"/>
      <c r="L371" s="62"/>
      <c r="M371" s="62"/>
      <c r="N371" s="439"/>
    </row>
    <row r="372" spans="4:14" s="59" customFormat="1" ht="15">
      <c r="D372" s="437"/>
      <c r="E372" s="60"/>
      <c r="F372" s="438"/>
      <c r="G372" s="438"/>
      <c r="H372" s="57"/>
      <c r="J372" s="57"/>
      <c r="L372" s="62"/>
      <c r="M372" s="62"/>
      <c r="N372" s="439"/>
    </row>
    <row r="373" spans="4:14" s="59" customFormat="1" ht="15">
      <c r="D373" s="437"/>
      <c r="E373" s="60"/>
      <c r="F373" s="438"/>
      <c r="G373" s="438"/>
      <c r="H373" s="57"/>
      <c r="J373" s="57"/>
      <c r="L373" s="62"/>
      <c r="M373" s="62"/>
      <c r="N373" s="439"/>
    </row>
    <row r="374" spans="4:14" s="59" customFormat="1" ht="15">
      <c r="D374" s="437"/>
      <c r="E374" s="60"/>
      <c r="F374" s="438"/>
      <c r="G374" s="438"/>
      <c r="H374" s="57"/>
      <c r="J374" s="57"/>
      <c r="L374" s="62"/>
      <c r="M374" s="62"/>
      <c r="N374" s="439"/>
    </row>
    <row r="375" spans="4:14" s="59" customFormat="1" ht="15">
      <c r="D375" s="437"/>
      <c r="E375" s="60"/>
      <c r="F375" s="438"/>
      <c r="G375" s="438"/>
      <c r="H375" s="57"/>
      <c r="J375" s="57"/>
      <c r="L375" s="62"/>
      <c r="M375" s="62"/>
      <c r="N375" s="439"/>
    </row>
    <row r="376" spans="4:14" s="59" customFormat="1" ht="15">
      <c r="D376" s="437"/>
      <c r="E376" s="60"/>
      <c r="F376" s="438"/>
      <c r="G376" s="438"/>
      <c r="H376" s="57"/>
      <c r="J376" s="57"/>
      <c r="L376" s="62"/>
      <c r="M376" s="62"/>
      <c r="N376" s="439"/>
    </row>
  </sheetData>
  <sheetProtection/>
  <mergeCells count="2">
    <mergeCell ref="A1:O1"/>
    <mergeCell ref="A2:O2"/>
  </mergeCells>
  <conditionalFormatting sqref="F135:F136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111"/>
  <sheetViews>
    <sheetView zoomScale="90" zoomScaleNormal="90" workbookViewId="0" topLeftCell="A67">
      <selection activeCell="D95" sqref="D95"/>
    </sheetView>
  </sheetViews>
  <sheetFormatPr defaultColWidth="11.421875" defaultRowHeight="15"/>
  <cols>
    <col min="1" max="1" width="4.00390625" style="0" customWidth="1"/>
    <col min="2" max="2" width="47.7109375" style="0" customWidth="1"/>
    <col min="3" max="3" width="6.140625" style="19" customWidth="1"/>
    <col min="4" max="4" width="25.421875" style="19" bestFit="1" customWidth="1"/>
    <col min="5" max="5" width="1.7109375" style="19" customWidth="1"/>
    <col min="6" max="6" width="24.7109375" style="0" bestFit="1" customWidth="1"/>
    <col min="7" max="7" width="2.421875" style="0" customWidth="1"/>
    <col min="8" max="8" width="25.140625" style="0" bestFit="1" customWidth="1"/>
    <col min="9" max="9" width="1.8515625" style="0" customWidth="1"/>
    <col min="10" max="10" width="12.28125" style="0" customWidth="1"/>
    <col min="12" max="12" width="20.421875" style="0" hidden="1" customWidth="1"/>
    <col min="13" max="13" width="17.140625" style="0" bestFit="1" customWidth="1"/>
    <col min="14" max="14" width="14.8515625" style="0" bestFit="1" customWidth="1"/>
    <col min="15" max="15" width="17.140625" style="0" bestFit="1" customWidth="1"/>
  </cols>
  <sheetData>
    <row r="1" spans="1:10" ht="15">
      <c r="A1" s="22"/>
      <c r="B1" s="489" t="s">
        <v>91</v>
      </c>
      <c r="C1" s="489"/>
      <c r="D1" s="489"/>
      <c r="E1" s="489"/>
      <c r="F1" s="489"/>
      <c r="G1" s="489"/>
      <c r="H1" s="489"/>
      <c r="I1" s="489"/>
      <c r="J1" s="494"/>
    </row>
    <row r="2" spans="1:10" ht="15">
      <c r="A2" s="23"/>
      <c r="B2" s="490" t="s">
        <v>231</v>
      </c>
      <c r="C2" s="490"/>
      <c r="D2" s="490"/>
      <c r="E2" s="490"/>
      <c r="F2" s="490"/>
      <c r="G2" s="490"/>
      <c r="H2" s="490"/>
      <c r="I2" s="490"/>
      <c r="J2" s="495"/>
    </row>
    <row r="3" spans="1:10" ht="15">
      <c r="A3" s="23"/>
      <c r="B3" s="490" t="s">
        <v>93</v>
      </c>
      <c r="C3" s="490"/>
      <c r="D3" s="490"/>
      <c r="E3" s="490"/>
      <c r="F3" s="490"/>
      <c r="G3" s="490"/>
      <c r="H3" s="490"/>
      <c r="I3" s="490"/>
      <c r="J3" s="495"/>
    </row>
    <row r="4" spans="1:10" ht="15">
      <c r="A4" s="23"/>
      <c r="B4" s="18"/>
      <c r="C4" s="24"/>
      <c r="D4" s="24"/>
      <c r="E4" s="24"/>
      <c r="F4" s="18"/>
      <c r="G4" s="18"/>
      <c r="H4" s="18"/>
      <c r="I4" s="18"/>
      <c r="J4" s="93"/>
    </row>
    <row r="5" spans="1:10" ht="15">
      <c r="A5" s="23"/>
      <c r="B5" s="18"/>
      <c r="C5" s="24" t="s">
        <v>111</v>
      </c>
      <c r="D5" s="27">
        <v>2016</v>
      </c>
      <c r="E5" s="24"/>
      <c r="F5" s="27">
        <v>2015</v>
      </c>
      <c r="G5" s="18"/>
      <c r="H5" s="20" t="s">
        <v>81</v>
      </c>
      <c r="I5" s="21"/>
      <c r="J5" s="28" t="s">
        <v>82</v>
      </c>
    </row>
    <row r="6" spans="1:10" ht="15">
      <c r="A6" s="23"/>
      <c r="B6" s="21" t="s">
        <v>183</v>
      </c>
      <c r="C6" s="24"/>
      <c r="D6" s="18"/>
      <c r="E6" s="24"/>
      <c r="F6" s="18"/>
      <c r="G6" s="18"/>
      <c r="H6" s="18"/>
      <c r="I6" s="18"/>
      <c r="J6" s="93"/>
    </row>
    <row r="7" spans="1:10" ht="15">
      <c r="A7" s="23"/>
      <c r="B7" s="18"/>
      <c r="C7" s="24"/>
      <c r="D7" s="18"/>
      <c r="E7" s="24"/>
      <c r="F7" s="18"/>
      <c r="G7" s="18"/>
      <c r="H7" s="18"/>
      <c r="I7" s="18"/>
      <c r="J7" s="93"/>
    </row>
    <row r="8" spans="1:10" ht="15">
      <c r="A8" s="23"/>
      <c r="B8" s="21" t="s">
        <v>199</v>
      </c>
      <c r="C8" s="24"/>
      <c r="D8" s="18"/>
      <c r="E8" s="24"/>
      <c r="F8" s="18"/>
      <c r="G8" s="18"/>
      <c r="H8" s="18"/>
      <c r="I8" s="18"/>
      <c r="J8" s="93"/>
    </row>
    <row r="9" spans="1:10" ht="15">
      <c r="A9" s="23"/>
      <c r="B9" s="18" t="s">
        <v>246</v>
      </c>
      <c r="C9" s="24"/>
      <c r="D9" s="77">
        <f>+'IG DICIEMBRE '!F82</f>
        <v>11561960146</v>
      </c>
      <c r="E9" s="24"/>
      <c r="F9" s="77">
        <v>12133870992</v>
      </c>
      <c r="G9" s="77"/>
      <c r="H9" s="77">
        <f>+D9-F9</f>
        <v>-571910846</v>
      </c>
      <c r="I9" s="18"/>
      <c r="J9" s="29">
        <f>+H9/F9</f>
        <v>-0.04713342068471532</v>
      </c>
    </row>
    <row r="10" spans="1:10" ht="15">
      <c r="A10" s="23"/>
      <c r="B10" s="18"/>
      <c r="C10" s="24"/>
      <c r="D10" s="18"/>
      <c r="E10" s="24"/>
      <c r="F10" s="18"/>
      <c r="G10" s="18"/>
      <c r="H10" s="18"/>
      <c r="I10" s="18"/>
      <c r="J10" s="93"/>
    </row>
    <row r="11" spans="1:10" ht="15">
      <c r="A11" s="23"/>
      <c r="B11" s="21" t="s">
        <v>234</v>
      </c>
      <c r="C11" s="24"/>
      <c r="D11" s="18"/>
      <c r="E11" s="24"/>
      <c r="F11" s="18"/>
      <c r="G11" s="18"/>
      <c r="H11" s="18"/>
      <c r="I11" s="18"/>
      <c r="J11" s="93"/>
    </row>
    <row r="12" spans="1:10" ht="15">
      <c r="A12" s="23"/>
      <c r="B12" s="18" t="str">
        <f>+B9</f>
        <v>VENTA DE PRODUCTOS AGROPECUARIOS</v>
      </c>
      <c r="C12" s="24"/>
      <c r="D12" s="77">
        <f>-'IG DICIEMBRE '!F90+'IG DICIEMBRE '!F99</f>
        <v>-11419558521</v>
      </c>
      <c r="E12" s="24"/>
      <c r="F12" s="77">
        <f>-'IG DICIEMBRE '!D90</f>
        <v>-11895204418.69</v>
      </c>
      <c r="G12" s="77"/>
      <c r="H12" s="76">
        <f>+D12-F12</f>
        <v>475645897.69000053</v>
      </c>
      <c r="I12" s="18"/>
      <c r="J12" s="30">
        <f>+H12/F12</f>
        <v>-0.039986357606654956</v>
      </c>
    </row>
    <row r="13" spans="1:10" ht="15">
      <c r="A13" s="23"/>
      <c r="B13" s="18"/>
      <c r="C13" s="24"/>
      <c r="D13" s="18"/>
      <c r="E13" s="24"/>
      <c r="F13" s="18"/>
      <c r="G13" s="18"/>
      <c r="H13" s="18"/>
      <c r="I13" s="18"/>
      <c r="J13" s="93"/>
    </row>
    <row r="14" spans="1:10" ht="15">
      <c r="A14" s="23"/>
      <c r="B14" s="21" t="s">
        <v>247</v>
      </c>
      <c r="C14" s="24"/>
      <c r="D14" s="35">
        <f>+D9+D12</f>
        <v>142401625</v>
      </c>
      <c r="E14" s="24"/>
      <c r="F14" s="35">
        <f>+F9+F12</f>
        <v>238666573.30999947</v>
      </c>
      <c r="G14" s="35"/>
      <c r="H14" s="35">
        <f>+D14-F14</f>
        <v>-96264948.30999947</v>
      </c>
      <c r="I14" s="21"/>
      <c r="J14" s="31">
        <f>+H14/F14</f>
        <v>-0.40334491326090627</v>
      </c>
    </row>
    <row r="15" spans="1:10" ht="15">
      <c r="A15" s="23"/>
      <c r="B15" s="18"/>
      <c r="C15" s="24"/>
      <c r="D15" s="18"/>
      <c r="E15" s="24"/>
      <c r="F15" s="18"/>
      <c r="G15" s="18"/>
      <c r="H15" s="18"/>
      <c r="I15" s="18"/>
      <c r="J15" s="93"/>
    </row>
    <row r="16" spans="1:10" ht="15">
      <c r="A16" s="23"/>
      <c r="B16" s="21" t="s">
        <v>237</v>
      </c>
      <c r="C16" s="24"/>
      <c r="D16" s="18"/>
      <c r="E16" s="24"/>
      <c r="F16" s="18"/>
      <c r="G16" s="18"/>
      <c r="H16" s="18"/>
      <c r="I16" s="18"/>
      <c r="J16" s="93"/>
    </row>
    <row r="17" spans="1:15" ht="15">
      <c r="A17" s="23"/>
      <c r="B17" s="18" t="s">
        <v>238</v>
      </c>
      <c r="C17" s="24"/>
      <c r="D17" s="77">
        <f>+'IG DICIEMBRE '!F107+'IG DICIEMBRE '!F108+'IG DICIEMBRE '!F110+'IG DICIEMBRE '!F111+'IG DICIEMBRE '!F112+'IG DICIEMBRE '!F113+'IG DICIEMBRE '!F114+'IG DICIEMBRE '!F115+'IG DICIEMBRE '!F116+'IG DICIEMBRE '!F117+'IG DICIEMBRE '!F118+'IG DICIEMBRE '!F119+'IG DICIEMBRE '!F120+'IG DICIEMBRE '!F121+'IG DICIEMBRE '!F122+'IG DICIEMBRE '!F123</f>
        <v>70415579</v>
      </c>
      <c r="E17" s="24"/>
      <c r="F17" s="77">
        <f>+'IG DICIEMBRE '!D107+'IG DICIEMBRE '!D108+'IG DICIEMBRE '!D109+'IG DICIEMBRE '!D110+'IG DICIEMBRE '!D111+'IG DICIEMBRE '!D112+'IG DICIEMBRE '!D113+'IG DICIEMBRE '!D114+'IG DICIEMBRE '!D115+'IG DICIEMBRE '!D116+'IG DICIEMBRE '!D117+'IG DICIEMBRE '!D118+'IG DICIEMBRE '!D119+'IG DICIEMBRE '!D120+'IG DICIEMBRE '!D121+'IG DICIEMBRE '!D122+'IG DICIEMBRE '!D123</f>
        <v>67943137</v>
      </c>
      <c r="G17" s="77"/>
      <c r="H17" s="77">
        <f>+D17-F17</f>
        <v>2472442</v>
      </c>
      <c r="I17" s="18"/>
      <c r="J17" s="29">
        <f>+H17/F17</f>
        <v>0.03638987113591767</v>
      </c>
      <c r="L17" s="12"/>
      <c r="M17" s="14">
        <f>+D17+D44</f>
        <v>143527401</v>
      </c>
      <c r="N17" s="14">
        <f aca="true" t="shared" si="0" ref="N17:O23">+E17+E44</f>
        <v>0</v>
      </c>
      <c r="O17" s="14">
        <f t="shared" si="0"/>
        <v>145336556</v>
      </c>
    </row>
    <row r="18" spans="1:15" ht="15">
      <c r="A18" s="23"/>
      <c r="B18" s="33" t="s">
        <v>239</v>
      </c>
      <c r="C18" s="24"/>
      <c r="D18" s="77">
        <f>+'IG DICIEMBRE '!F125+'IG DICIEMBRE '!F126+'IG DICIEMBRE '!F127+'IG DICIEMBRE '!F128+'IG DICIEMBRE '!F129+'IG DICIEMBRE '!F130+'IG DICIEMBRE '!F131+'IG DICIEMBRE '!F132+'IG DICIEMBRE '!F133+'IG DICIEMBRE '!F134+'IG DICIEMBRE '!F135+'IG DICIEMBRE '!F136+'IG DICIEMBRE '!F137+'IG DICIEMBRE '!F138+'IG DICIEMBRE '!F139+'IG DICIEMBRE '!F140+'IG DICIEMBRE '!F141+'IG DICIEMBRE '!F142+'IG DICIEMBRE '!F143+'IG DICIEMBRE '!F144-'IG DICIEMBRE '!F138+'IG DICIEMBRE '!F99</f>
        <v>134632688</v>
      </c>
      <c r="E18" s="24"/>
      <c r="F18" s="77">
        <f>+'IG DICIEMBRE '!D125+'IG DICIEMBRE '!D126+'IG DICIEMBRE '!D127+'IG DICIEMBRE '!D128+'IG DICIEMBRE '!D129+'IG DICIEMBRE '!D130+'IG DICIEMBRE '!D131+'IG DICIEMBRE '!D132+'IG DICIEMBRE '!D133+'IG DICIEMBRE '!D134+'IG DICIEMBRE '!D135+'IG DICIEMBRE '!D136+'IG DICIEMBRE '!D137+'IG DICIEMBRE '!D138+'IG DICIEMBRE '!D139+'IG DICIEMBRE '!D140+'IG DICIEMBRE '!D141+'IG DICIEMBRE '!D142+'IG DICIEMBRE '!D143+'IG DICIEMBRE '!D144-'IG DICIEMBRE '!D138</f>
        <v>121987311</v>
      </c>
      <c r="G18" s="77"/>
      <c r="H18" s="77">
        <f>+D18-F18</f>
        <v>12645377</v>
      </c>
      <c r="I18" s="18"/>
      <c r="J18" s="29">
        <f>+H18/F18</f>
        <v>0.10366141278415425</v>
      </c>
      <c r="L18" s="12"/>
      <c r="M18" s="14">
        <f aca="true" t="shared" si="1" ref="M18:M23">+D18+D45</f>
        <v>231960664</v>
      </c>
      <c r="N18" s="14">
        <f t="shared" si="0"/>
        <v>0</v>
      </c>
      <c r="O18" s="14">
        <f t="shared" si="0"/>
        <v>198761863</v>
      </c>
    </row>
    <row r="19" spans="1:15" ht="15">
      <c r="A19" s="23"/>
      <c r="B19" s="33" t="s">
        <v>167</v>
      </c>
      <c r="C19" s="24"/>
      <c r="D19" s="132">
        <f>+'IG DICIEMBRE '!F138</f>
        <v>10293741.85</v>
      </c>
      <c r="E19" s="24"/>
      <c r="F19" s="132">
        <f>+'IG DICIEMBRE '!D138-1682099</f>
        <v>12969026</v>
      </c>
      <c r="G19" s="77"/>
      <c r="H19" s="77">
        <f>+D19-F19</f>
        <v>-2675284.1500000004</v>
      </c>
      <c r="I19" s="18"/>
      <c r="J19" s="29">
        <f>+H19/F19</f>
        <v>-0.20628258051144321</v>
      </c>
      <c r="L19" s="12"/>
      <c r="M19" s="14">
        <f t="shared" si="1"/>
        <v>18766200.979999997</v>
      </c>
      <c r="N19" s="14">
        <f t="shared" si="0"/>
        <v>0</v>
      </c>
      <c r="O19" s="14">
        <f t="shared" si="0"/>
        <v>23371020.58</v>
      </c>
    </row>
    <row r="20" spans="1:15" ht="15">
      <c r="A20" s="23"/>
      <c r="B20" s="444" t="s">
        <v>580</v>
      </c>
      <c r="C20" s="476"/>
      <c r="D20" s="132">
        <v>35818296</v>
      </c>
      <c r="E20" s="476"/>
      <c r="F20" s="132">
        <v>40033399</v>
      </c>
      <c r="G20" s="77"/>
      <c r="H20" s="77">
        <f>+D20-F20</f>
        <v>-4215103</v>
      </c>
      <c r="I20" s="18"/>
      <c r="J20" s="104">
        <f>+H20/F20</f>
        <v>-0.10528966076550232</v>
      </c>
      <c r="L20" s="12"/>
      <c r="M20" s="14">
        <f t="shared" si="1"/>
        <v>63670687</v>
      </c>
      <c r="N20" s="14">
        <f t="shared" si="0"/>
        <v>0</v>
      </c>
      <c r="O20" s="14">
        <f t="shared" si="0"/>
        <v>57497759</v>
      </c>
    </row>
    <row r="21" spans="1:15" ht="15">
      <c r="A21" s="23"/>
      <c r="B21" s="33" t="s">
        <v>173</v>
      </c>
      <c r="C21" s="24"/>
      <c r="D21" s="76">
        <v>0</v>
      </c>
      <c r="E21" s="24"/>
      <c r="F21" s="76">
        <v>0</v>
      </c>
      <c r="G21" s="77"/>
      <c r="H21" s="76">
        <f>+D21-F21</f>
        <v>0</v>
      </c>
      <c r="I21" s="18"/>
      <c r="J21" s="30" t="e">
        <f>+H21/F21</f>
        <v>#DIV/0!</v>
      </c>
      <c r="L21" s="12"/>
      <c r="M21" s="14">
        <f t="shared" si="1"/>
        <v>0</v>
      </c>
      <c r="N21" s="14">
        <f t="shared" si="0"/>
        <v>0</v>
      </c>
      <c r="O21" s="14">
        <f t="shared" si="0"/>
        <v>0</v>
      </c>
    </row>
    <row r="22" spans="1:15" ht="15">
      <c r="A22" s="23"/>
      <c r="B22" s="18"/>
      <c r="C22" s="24"/>
      <c r="D22" s="18"/>
      <c r="E22" s="24"/>
      <c r="F22" s="18"/>
      <c r="G22" s="18"/>
      <c r="H22" s="18"/>
      <c r="I22" s="18"/>
      <c r="J22" s="93"/>
      <c r="M22" s="14">
        <f t="shared" si="1"/>
        <v>0</v>
      </c>
      <c r="N22" s="14">
        <f t="shared" si="0"/>
        <v>0</v>
      </c>
      <c r="O22" s="14">
        <f t="shared" si="0"/>
        <v>0</v>
      </c>
    </row>
    <row r="23" spans="1:15" ht="15">
      <c r="A23" s="23"/>
      <c r="B23" s="21" t="s">
        <v>240</v>
      </c>
      <c r="C23" s="24"/>
      <c r="D23" s="35">
        <f>SUM(D17:D22)</f>
        <v>251160304.85</v>
      </c>
      <c r="E23" s="24"/>
      <c r="F23" s="35">
        <f>SUM(F17:F22)</f>
        <v>242932873</v>
      </c>
      <c r="G23" s="35"/>
      <c r="H23" s="35">
        <f>+D23-F23</f>
        <v>8227431.849999994</v>
      </c>
      <c r="I23" s="21"/>
      <c r="J23" s="31">
        <f>+H23/F23</f>
        <v>0.03386709978109877</v>
      </c>
      <c r="M23" s="14">
        <f t="shared" si="1"/>
        <v>457924952.98</v>
      </c>
      <c r="N23" s="14">
        <f t="shared" si="0"/>
        <v>0</v>
      </c>
      <c r="O23" s="14">
        <f t="shared" si="0"/>
        <v>424967198.58000004</v>
      </c>
    </row>
    <row r="24" spans="1:10" ht="15">
      <c r="A24" s="23"/>
      <c r="B24" s="21"/>
      <c r="C24" s="24"/>
      <c r="D24" s="18"/>
      <c r="E24" s="24"/>
      <c r="F24" s="18"/>
      <c r="G24" s="18"/>
      <c r="H24" s="18"/>
      <c r="I24" s="18"/>
      <c r="J24" s="93"/>
    </row>
    <row r="25" spans="1:10" ht="15">
      <c r="A25" s="23"/>
      <c r="B25" s="21" t="s">
        <v>243</v>
      </c>
      <c r="C25" s="24"/>
      <c r="D25" s="35">
        <f>+D14-D23</f>
        <v>-108758679.85</v>
      </c>
      <c r="E25" s="24"/>
      <c r="F25" s="35">
        <f>+F14-F23</f>
        <v>-4266299.690000534</v>
      </c>
      <c r="G25" s="35"/>
      <c r="H25" s="35">
        <f>+D25-F25</f>
        <v>-104492380.15999946</v>
      </c>
      <c r="I25" s="21"/>
      <c r="J25" s="31">
        <f>+H25/F25</f>
        <v>24.492508204454428</v>
      </c>
    </row>
    <row r="26" spans="1:10" ht="15">
      <c r="A26" s="23"/>
      <c r="B26" s="18"/>
      <c r="C26" s="123"/>
      <c r="D26" s="18"/>
      <c r="E26" s="24"/>
      <c r="F26" s="18"/>
      <c r="G26" s="18"/>
      <c r="H26" s="18"/>
      <c r="I26" s="18"/>
      <c r="J26" s="93"/>
    </row>
    <row r="27" spans="1:10" ht="15">
      <c r="A27" s="23"/>
      <c r="B27" s="21" t="s">
        <v>242</v>
      </c>
      <c r="C27" s="123"/>
      <c r="D27" s="133">
        <f>+'IG DICIEMBRE '!F149</f>
        <v>57438473</v>
      </c>
      <c r="E27" s="24"/>
      <c r="F27" s="133">
        <v>48640677</v>
      </c>
      <c r="G27" s="17"/>
      <c r="H27" s="77">
        <f>+D27-F27</f>
        <v>8797796</v>
      </c>
      <c r="I27" s="18"/>
      <c r="J27" s="29">
        <f>+H27/F27</f>
        <v>0.18087322263216032</v>
      </c>
    </row>
    <row r="28" spans="1:10" ht="15">
      <c r="A28" s="23"/>
      <c r="B28" s="21" t="s">
        <v>241</v>
      </c>
      <c r="C28" s="123"/>
      <c r="D28" s="131"/>
      <c r="E28" s="24"/>
      <c r="F28" s="131"/>
      <c r="G28" s="77"/>
      <c r="H28" s="77">
        <f>+D28-F28</f>
        <v>0</v>
      </c>
      <c r="I28" s="18"/>
      <c r="J28" s="29" t="e">
        <f>+H28/F28</f>
        <v>#DIV/0!</v>
      </c>
    </row>
    <row r="29" spans="1:10" ht="15">
      <c r="A29" s="23"/>
      <c r="B29" s="18"/>
      <c r="C29" s="24"/>
      <c r="D29" s="18"/>
      <c r="E29" s="24"/>
      <c r="F29" s="18"/>
      <c r="G29" s="18"/>
      <c r="H29" s="18"/>
      <c r="I29" s="18"/>
      <c r="J29" s="93"/>
    </row>
    <row r="30" spans="1:10" ht="15">
      <c r="A30" s="23"/>
      <c r="B30" s="21" t="s">
        <v>244</v>
      </c>
      <c r="C30" s="24"/>
      <c r="D30" s="35">
        <f>+D27-D28</f>
        <v>57438473</v>
      </c>
      <c r="E30" s="35">
        <f>+E27-E28</f>
        <v>0</v>
      </c>
      <c r="F30" s="35">
        <f>+F27-F28</f>
        <v>48640677</v>
      </c>
      <c r="G30" s="35"/>
      <c r="H30" s="35">
        <f>+D30-F30</f>
        <v>8797796</v>
      </c>
      <c r="I30" s="21"/>
      <c r="J30" s="31">
        <f>+H30/F30</f>
        <v>0.18087322263216032</v>
      </c>
    </row>
    <row r="31" spans="1:10" ht="15">
      <c r="A31" s="23"/>
      <c r="B31" s="21" t="s">
        <v>248</v>
      </c>
      <c r="C31" s="24"/>
      <c r="D31" s="35">
        <f>+D25+D30</f>
        <v>-51320206.849999994</v>
      </c>
      <c r="E31" s="24"/>
      <c r="F31" s="35">
        <f>+F25+F30</f>
        <v>44374377.309999466</v>
      </c>
      <c r="G31" s="35"/>
      <c r="H31" s="35">
        <f>+D31-F31</f>
        <v>-95694584.15999946</v>
      </c>
      <c r="I31" s="21"/>
      <c r="J31" s="31">
        <f>+H31/F31</f>
        <v>-2.1565279325831876</v>
      </c>
    </row>
    <row r="32" spans="1:10" ht="15">
      <c r="A32" s="23"/>
      <c r="B32" s="18"/>
      <c r="C32" s="24"/>
      <c r="D32" s="18"/>
      <c r="E32" s="24"/>
      <c r="F32" s="18"/>
      <c r="G32" s="18"/>
      <c r="H32" s="18"/>
      <c r="I32" s="18"/>
      <c r="J32" s="93"/>
    </row>
    <row r="33" spans="1:10" ht="15">
      <c r="A33" s="23"/>
      <c r="B33" s="21" t="s">
        <v>125</v>
      </c>
      <c r="C33" s="24"/>
      <c r="D33" s="18"/>
      <c r="E33" s="24"/>
      <c r="F33" s="18"/>
      <c r="G33" s="18"/>
      <c r="H33" s="18"/>
      <c r="I33" s="18"/>
      <c r="J33" s="93"/>
    </row>
    <row r="34" spans="1:10" ht="15">
      <c r="A34" s="23"/>
      <c r="B34" s="18"/>
      <c r="C34" s="24"/>
      <c r="D34" s="18"/>
      <c r="E34" s="24"/>
      <c r="F34" s="18"/>
      <c r="G34" s="18"/>
      <c r="H34" s="18"/>
      <c r="I34" s="18"/>
      <c r="J34" s="93"/>
    </row>
    <row r="35" spans="1:10" ht="15">
      <c r="A35" s="23"/>
      <c r="B35" s="21" t="s">
        <v>199</v>
      </c>
      <c r="C35" s="24"/>
      <c r="D35" s="18"/>
      <c r="E35" s="24"/>
      <c r="F35" s="18"/>
      <c r="G35" s="18"/>
      <c r="H35" s="18"/>
      <c r="I35" s="18"/>
      <c r="J35" s="93"/>
    </row>
    <row r="36" spans="1:10" ht="15">
      <c r="A36" s="23"/>
      <c r="B36" s="18" t="s">
        <v>233</v>
      </c>
      <c r="C36" s="24"/>
      <c r="D36" s="94">
        <f>+'IG DICIEMBRE '!F7</f>
        <v>5912361898</v>
      </c>
      <c r="E36" s="24"/>
      <c r="F36" s="94">
        <v>5995829769</v>
      </c>
      <c r="G36" s="94"/>
      <c r="H36" s="77">
        <f>+D36-F36</f>
        <v>-83467871</v>
      </c>
      <c r="I36" s="18"/>
      <c r="J36" s="29">
        <f>+H36/F36</f>
        <v>-0.013920987455572974</v>
      </c>
    </row>
    <row r="37" spans="1:10" ht="15">
      <c r="A37" s="23"/>
      <c r="B37" s="18"/>
      <c r="C37" s="24"/>
      <c r="D37" s="18"/>
      <c r="E37" s="24"/>
      <c r="F37" s="18"/>
      <c r="G37" s="18"/>
      <c r="H37" s="18"/>
      <c r="I37" s="18"/>
      <c r="J37" s="93"/>
    </row>
    <row r="38" spans="1:10" ht="15">
      <c r="A38" s="23"/>
      <c r="B38" s="21" t="s">
        <v>234</v>
      </c>
      <c r="C38" s="24"/>
      <c r="D38" s="18"/>
      <c r="E38" s="24"/>
      <c r="F38" s="18"/>
      <c r="G38" s="18"/>
      <c r="H38" s="18"/>
      <c r="I38" s="18"/>
      <c r="J38" s="93"/>
    </row>
    <row r="39" spans="1:10" ht="15">
      <c r="A39" s="23"/>
      <c r="B39" s="18" t="str">
        <f>+B36</f>
        <v>VENTA DE INSUMOS, MAT PRI AGROP Y FLORES</v>
      </c>
      <c r="C39" s="24"/>
      <c r="D39" s="76">
        <f>-'IG DICIEMBRE '!F15</f>
        <v>-5278658561.1</v>
      </c>
      <c r="E39" s="24"/>
      <c r="F39" s="76">
        <f>-'IG DICIEMBRE '!D15</f>
        <v>-5415839570</v>
      </c>
      <c r="G39" s="77"/>
      <c r="H39" s="76">
        <f>+D39-F39</f>
        <v>137181008.89999962</v>
      </c>
      <c r="I39" s="18"/>
      <c r="J39" s="30">
        <f>+H39/F39</f>
        <v>-0.025329592416268643</v>
      </c>
    </row>
    <row r="40" spans="1:10" ht="15">
      <c r="A40" s="23"/>
      <c r="B40" s="18"/>
      <c r="C40" s="24"/>
      <c r="D40" s="18"/>
      <c r="E40" s="24"/>
      <c r="F40" s="18"/>
      <c r="G40" s="18"/>
      <c r="H40" s="18"/>
      <c r="I40" s="18"/>
      <c r="J40" s="93"/>
    </row>
    <row r="41" spans="1:10" ht="15">
      <c r="A41" s="23"/>
      <c r="B41" s="21" t="s">
        <v>236</v>
      </c>
      <c r="C41" s="24"/>
      <c r="D41" s="35">
        <f>SUM(D36:D40)</f>
        <v>633703336.8999996</v>
      </c>
      <c r="E41" s="24"/>
      <c r="F41" s="35">
        <f>SUM(F36:F40)</f>
        <v>579990199</v>
      </c>
      <c r="G41" s="35"/>
      <c r="H41" s="35">
        <f>+D41-F41</f>
        <v>53713137.89999962</v>
      </c>
      <c r="I41" s="21"/>
      <c r="J41" s="31">
        <f>+H41/F41</f>
        <v>0.0926104234047576</v>
      </c>
    </row>
    <row r="42" spans="1:10" ht="15">
      <c r="A42" s="23"/>
      <c r="B42" s="18"/>
      <c r="C42" s="24"/>
      <c r="D42" s="18"/>
      <c r="E42" s="24"/>
      <c r="F42" s="18"/>
      <c r="G42" s="18"/>
      <c r="H42" s="18"/>
      <c r="I42" s="18"/>
      <c r="J42" s="93"/>
    </row>
    <row r="43" spans="1:10" ht="15">
      <c r="A43" s="23"/>
      <c r="B43" s="21" t="s">
        <v>237</v>
      </c>
      <c r="C43" s="24"/>
      <c r="D43" s="18"/>
      <c r="E43" s="24"/>
      <c r="F43" s="18"/>
      <c r="G43" s="18"/>
      <c r="H43" s="18"/>
      <c r="I43" s="18"/>
      <c r="J43" s="93"/>
    </row>
    <row r="44" spans="1:10" ht="15">
      <c r="A44" s="23"/>
      <c r="B44" s="18" t="s">
        <v>238</v>
      </c>
      <c r="C44" s="24"/>
      <c r="D44" s="77">
        <f>+'IG DICIEMBRE '!F31+'IG DICIEMBRE '!F32+'IG DICIEMBRE '!F33+'IG DICIEMBRE '!F34+'IG DICIEMBRE '!F35+'IG DICIEMBRE '!F36+'IG DICIEMBRE '!F37+'IG DICIEMBRE '!F38+'IG DICIEMBRE '!F39+'IG DICIEMBRE '!F40+'IG DICIEMBRE '!F41+'IG DICIEMBRE '!F42+'IG DICIEMBRE '!F43+'IG DICIEMBRE '!F44+'IG DICIEMBRE '!F45+'IG DICIEMBRE '!F46+'IG DICIEMBRE '!F47-338</f>
        <v>73111822</v>
      </c>
      <c r="E44" s="24"/>
      <c r="F44" s="77">
        <v>77393419</v>
      </c>
      <c r="G44" s="77"/>
      <c r="H44" s="77">
        <f>+D44-F44</f>
        <v>-4281597</v>
      </c>
      <c r="I44" s="18"/>
      <c r="J44" s="29">
        <f>+H44/F44</f>
        <v>-0.055322494539232075</v>
      </c>
    </row>
    <row r="45" spans="1:10" ht="15">
      <c r="A45" s="23"/>
      <c r="B45" s="33" t="s">
        <v>239</v>
      </c>
      <c r="C45" s="24"/>
      <c r="D45" s="77">
        <f>+'IG DICIEMBRE '!F48+'IG DICIEMBRE '!F49+'IG DICIEMBRE '!F50+'IG DICIEMBRE '!F51+'IG DICIEMBRE '!F52+'IG DICIEMBRE '!F53+'IG DICIEMBRE '!F54+'IG DICIEMBRE '!F55+'IG DICIEMBRE '!F56+'IG DICIEMBRE '!F57+'IG DICIEMBRE '!F58+'IG DICIEMBRE '!F59+'IG DICIEMBRE '!F60+'IG DICIEMBRE '!F62+'IG DICIEMBRE '!F63+'IG DICIEMBRE '!F64+'IG DICIEMBRE '!F65+'IG DICIEMBRE '!F66+'IG DICIEMBRE '!F67</f>
        <v>97327976</v>
      </c>
      <c r="E45" s="24"/>
      <c r="F45" s="77">
        <v>76774552</v>
      </c>
      <c r="G45" s="77"/>
      <c r="H45" s="77">
        <f>+D45-F45</f>
        <v>20553424</v>
      </c>
      <c r="I45" s="18"/>
      <c r="J45" s="29">
        <f>+H45/F45</f>
        <v>0.26771141562636536</v>
      </c>
    </row>
    <row r="46" spans="1:10" ht="15">
      <c r="A46" s="23"/>
      <c r="B46" s="33" t="s">
        <v>167</v>
      </c>
      <c r="C46" s="24"/>
      <c r="D46" s="77">
        <f>+'IG DICIEMBRE '!F61</f>
        <v>8472459.129999999</v>
      </c>
      <c r="E46" s="24"/>
      <c r="F46" s="77">
        <f>11751147-1349152.42</f>
        <v>10401994.58</v>
      </c>
      <c r="G46" s="77"/>
      <c r="H46" s="77">
        <f>+D46-F46</f>
        <v>-1929535.4500000011</v>
      </c>
      <c r="I46" s="18"/>
      <c r="J46" s="29">
        <f>+H46/F46</f>
        <v>-0.1854966790417229</v>
      </c>
    </row>
    <row r="47" spans="1:10" ht="15">
      <c r="A47" s="23"/>
      <c r="B47" s="444" t="s">
        <v>581</v>
      </c>
      <c r="C47" s="476"/>
      <c r="D47" s="77">
        <f>+'IG DICIEMBRE '!F73</f>
        <v>27852391</v>
      </c>
      <c r="E47" s="476"/>
      <c r="F47" s="77">
        <v>17464360</v>
      </c>
      <c r="G47" s="77"/>
      <c r="H47" s="77">
        <f>+D47-F47</f>
        <v>10388031</v>
      </c>
      <c r="I47" s="18"/>
      <c r="J47" s="104">
        <f>+H47/F47</f>
        <v>0.5948131508970269</v>
      </c>
    </row>
    <row r="48" spans="1:10" ht="15">
      <c r="A48" s="23"/>
      <c r="B48" s="33" t="s">
        <v>173</v>
      </c>
      <c r="C48" s="24"/>
      <c r="D48" s="76">
        <v>0</v>
      </c>
      <c r="E48" s="24"/>
      <c r="F48" s="76">
        <v>0</v>
      </c>
      <c r="G48" s="77"/>
      <c r="H48" s="76">
        <f>+D48-F48</f>
        <v>0</v>
      </c>
      <c r="I48" s="18"/>
      <c r="J48" s="30" t="e">
        <f>+H48/F48</f>
        <v>#DIV/0!</v>
      </c>
    </row>
    <row r="49" spans="1:10" ht="15">
      <c r="A49" s="23"/>
      <c r="B49" s="18"/>
      <c r="C49" s="24"/>
      <c r="D49" s="18"/>
      <c r="E49" s="24"/>
      <c r="F49" s="18"/>
      <c r="G49" s="18"/>
      <c r="H49" s="18"/>
      <c r="I49" s="18"/>
      <c r="J49" s="93"/>
    </row>
    <row r="50" spans="1:10" ht="15">
      <c r="A50" s="23"/>
      <c r="B50" s="21" t="s">
        <v>240</v>
      </c>
      <c r="C50" s="24"/>
      <c r="D50" s="35">
        <f>SUM(D44:D49)</f>
        <v>206764648.13</v>
      </c>
      <c r="E50" s="24"/>
      <c r="F50" s="35">
        <f>SUM(F44:F49)</f>
        <v>182034325.58</v>
      </c>
      <c r="G50" s="35"/>
      <c r="H50" s="35">
        <f aca="true" t="shared" si="2" ref="H50:H57">+D50-F50</f>
        <v>24730322.549999982</v>
      </c>
      <c r="I50" s="21"/>
      <c r="J50" s="31">
        <f>+H50/F50</f>
        <v>0.13585527054418953</v>
      </c>
    </row>
    <row r="51" spans="1:10" ht="15">
      <c r="A51" s="23"/>
      <c r="B51" s="21"/>
      <c r="C51" s="24"/>
      <c r="D51" s="35"/>
      <c r="E51" s="24"/>
      <c r="F51" s="35"/>
      <c r="G51" s="35"/>
      <c r="H51" s="77"/>
      <c r="I51" s="18"/>
      <c r="J51" s="29"/>
    </row>
    <row r="52" spans="1:10" ht="15">
      <c r="A52" s="23"/>
      <c r="B52" s="21" t="s">
        <v>243</v>
      </c>
      <c r="C52" s="24"/>
      <c r="D52" s="35">
        <f>+D41-D50</f>
        <v>426938688.7699996</v>
      </c>
      <c r="E52" s="24"/>
      <c r="F52" s="35">
        <f>+F41-F50</f>
        <v>397955873.41999996</v>
      </c>
      <c r="G52" s="35"/>
      <c r="H52" s="35">
        <f t="shared" si="2"/>
        <v>28982815.349999666</v>
      </c>
      <c r="I52" s="21"/>
      <c r="J52" s="31">
        <f>+H52/F52</f>
        <v>0.07282921872951326</v>
      </c>
    </row>
    <row r="53" spans="1:10" ht="15">
      <c r="A53" s="23"/>
      <c r="B53" s="18"/>
      <c r="C53" s="24"/>
      <c r="D53" s="18"/>
      <c r="E53" s="24"/>
      <c r="F53" s="18"/>
      <c r="G53" s="18"/>
      <c r="H53" s="77"/>
      <c r="I53" s="18"/>
      <c r="J53" s="29"/>
    </row>
    <row r="54" spans="1:10" ht="15">
      <c r="A54" s="23"/>
      <c r="B54" s="21" t="s">
        <v>242</v>
      </c>
      <c r="C54" s="24"/>
      <c r="D54" s="131">
        <f>+'IG DICIEMBRE '!F72</f>
        <v>25513089</v>
      </c>
      <c r="E54" s="24"/>
      <c r="F54" s="131">
        <v>8828650</v>
      </c>
      <c r="G54" s="77"/>
      <c r="H54" s="35">
        <f t="shared" si="2"/>
        <v>16684439</v>
      </c>
      <c r="I54" s="21"/>
      <c r="J54" s="31">
        <f>+H54/F54</f>
        <v>1.8898063690371687</v>
      </c>
    </row>
    <row r="55" spans="1:10" ht="15">
      <c r="A55" s="23"/>
      <c r="B55" s="21" t="s">
        <v>241</v>
      </c>
      <c r="C55" s="24"/>
      <c r="D55" s="132"/>
      <c r="E55" s="24"/>
      <c r="F55" s="132"/>
      <c r="G55" s="77"/>
      <c r="H55" s="35"/>
      <c r="I55" s="21"/>
      <c r="J55" s="31"/>
    </row>
    <row r="56" spans="1:10" ht="15">
      <c r="A56" s="23"/>
      <c r="B56" s="18"/>
      <c r="C56" s="24"/>
      <c r="D56" s="18"/>
      <c r="E56" s="24"/>
      <c r="F56" s="18"/>
      <c r="G56" s="18"/>
      <c r="H56" s="77"/>
      <c r="I56" s="18"/>
      <c r="J56" s="29"/>
    </row>
    <row r="57" spans="1:10" ht="15">
      <c r="A57" s="23"/>
      <c r="B57" s="21" t="s">
        <v>244</v>
      </c>
      <c r="C57" s="24"/>
      <c r="D57" s="35">
        <f>+D54-D55</f>
        <v>25513089</v>
      </c>
      <c r="E57" s="24"/>
      <c r="F57" s="35">
        <f>+F54-F55</f>
        <v>8828650</v>
      </c>
      <c r="G57" s="35"/>
      <c r="H57" s="35">
        <f t="shared" si="2"/>
        <v>16684439</v>
      </c>
      <c r="I57" s="21"/>
      <c r="J57" s="31">
        <f>+H57/F57</f>
        <v>1.8898063690371687</v>
      </c>
    </row>
    <row r="58" spans="1:10" ht="15">
      <c r="A58" s="23"/>
      <c r="B58" s="21" t="s">
        <v>245</v>
      </c>
      <c r="C58" s="24"/>
      <c r="D58" s="35">
        <f>+D52+D57</f>
        <v>452451777.7699996</v>
      </c>
      <c r="E58" s="24"/>
      <c r="F58" s="35">
        <f>+F52+F57</f>
        <v>406784523.41999996</v>
      </c>
      <c r="G58" s="35"/>
      <c r="H58" s="35">
        <f>+D58-F58</f>
        <v>45667254.349999666</v>
      </c>
      <c r="I58" s="21"/>
      <c r="J58" s="31">
        <f>+H58/F58</f>
        <v>0.11226399167317581</v>
      </c>
    </row>
    <row r="59" spans="1:10" ht="15">
      <c r="A59" s="23"/>
      <c r="B59" s="18"/>
      <c r="C59" s="24"/>
      <c r="D59" s="18"/>
      <c r="E59" s="24"/>
      <c r="F59" s="18"/>
      <c r="G59" s="18"/>
      <c r="H59" s="18"/>
      <c r="I59" s="18"/>
      <c r="J59" s="93"/>
    </row>
    <row r="60" spans="1:10" ht="15">
      <c r="A60" s="23"/>
      <c r="B60" s="21" t="s">
        <v>198</v>
      </c>
      <c r="C60" s="24"/>
      <c r="D60" s="18"/>
      <c r="E60" s="24"/>
      <c r="F60" s="18"/>
      <c r="G60" s="18"/>
      <c r="H60" s="18"/>
      <c r="I60" s="18"/>
      <c r="J60" s="93"/>
    </row>
    <row r="61" spans="1:10" ht="15">
      <c r="A61" s="23"/>
      <c r="B61" s="18"/>
      <c r="C61" s="24"/>
      <c r="D61" s="18"/>
      <c r="E61" s="24"/>
      <c r="F61" s="18"/>
      <c r="G61" s="18"/>
      <c r="H61" s="18"/>
      <c r="I61" s="18"/>
      <c r="J61" s="93"/>
    </row>
    <row r="62" spans="1:10" ht="15">
      <c r="A62" s="23"/>
      <c r="B62" s="21" t="s">
        <v>249</v>
      </c>
      <c r="C62" s="123"/>
      <c r="D62" s="18"/>
      <c r="E62" s="24"/>
      <c r="F62" s="18"/>
      <c r="G62" s="18"/>
      <c r="H62" s="18"/>
      <c r="I62" s="18"/>
      <c r="J62" s="93"/>
    </row>
    <row r="63" spans="1:10" ht="15">
      <c r="A63" s="23"/>
      <c r="B63" s="18" t="s">
        <v>250</v>
      </c>
      <c r="C63" s="123"/>
      <c r="D63" s="134">
        <f>+'IG DICIEMBRE '!F160+'IG DICIEMBRE '!F161</f>
        <v>23660024</v>
      </c>
      <c r="E63" s="24"/>
      <c r="F63" s="134">
        <v>11723379</v>
      </c>
      <c r="G63" s="77"/>
      <c r="H63" s="77">
        <f>+D63-F63</f>
        <v>11936645</v>
      </c>
      <c r="I63" s="18"/>
      <c r="J63" s="29">
        <f>+H63/F63</f>
        <v>1.0181915128735495</v>
      </c>
    </row>
    <row r="64" spans="1:10" ht="15">
      <c r="A64" s="23"/>
      <c r="B64" s="33" t="s">
        <v>251</v>
      </c>
      <c r="C64" s="123"/>
      <c r="D64" s="133">
        <f>+'IG DICIEMBRE '!F162</f>
        <v>5000</v>
      </c>
      <c r="E64" s="24"/>
      <c r="F64" s="133">
        <v>35000</v>
      </c>
      <c r="G64" s="77"/>
      <c r="H64" s="77">
        <f>+D64-F64</f>
        <v>-30000</v>
      </c>
      <c r="I64" s="18"/>
      <c r="J64" s="29">
        <f>+H64/F64</f>
        <v>-0.8571428571428571</v>
      </c>
    </row>
    <row r="65" spans="1:10" ht="15">
      <c r="A65" s="23"/>
      <c r="B65" s="444" t="s">
        <v>559</v>
      </c>
      <c r="C65" s="260"/>
      <c r="D65" s="133">
        <f>+'IG DICIEMBRE '!F167+'IG DICIEMBRE '!F168</f>
        <v>190365197</v>
      </c>
      <c r="E65" s="260"/>
      <c r="F65" s="133"/>
      <c r="G65" s="77"/>
      <c r="H65" s="77">
        <f>+D65-F65</f>
        <v>190365197</v>
      </c>
      <c r="I65" s="18"/>
      <c r="J65" s="104" t="e">
        <f>+H65/F65</f>
        <v>#DIV/0!</v>
      </c>
    </row>
    <row r="66" spans="1:10" ht="15">
      <c r="A66" s="23"/>
      <c r="B66" s="33" t="s">
        <v>60</v>
      </c>
      <c r="C66" s="24"/>
      <c r="D66" s="76">
        <f>+'IG DICIEMBRE '!F163+'IG DICIEMBRE '!F164+'IG DICIEMBRE '!F166-12000000</f>
        <v>25500453.159999996</v>
      </c>
      <c r="E66" s="24"/>
      <c r="F66" s="76">
        <v>51246113</v>
      </c>
      <c r="G66" s="77"/>
      <c r="H66" s="76">
        <f>+D66-F66</f>
        <v>-25745659.840000004</v>
      </c>
      <c r="I66" s="18"/>
      <c r="J66" s="30">
        <f>+H66/F66</f>
        <v>-0.5023924417448012</v>
      </c>
    </row>
    <row r="67" spans="1:10" ht="15">
      <c r="A67" s="23"/>
      <c r="B67" s="18"/>
      <c r="C67" s="24"/>
      <c r="D67" s="18"/>
      <c r="E67" s="24"/>
      <c r="F67" s="18"/>
      <c r="G67" s="18"/>
      <c r="H67" s="18"/>
      <c r="I67" s="18"/>
      <c r="J67" s="93"/>
    </row>
    <row r="68" spans="1:10" ht="15">
      <c r="A68" s="23"/>
      <c r="B68" s="21" t="s">
        <v>252</v>
      </c>
      <c r="C68" s="24"/>
      <c r="D68" s="35">
        <f>SUM(D63:D67)</f>
        <v>239530674.16</v>
      </c>
      <c r="E68" s="24"/>
      <c r="F68" s="35">
        <f>SUM(F63:F67)</f>
        <v>63004492</v>
      </c>
      <c r="G68" s="35"/>
      <c r="H68" s="35">
        <f>+D68-F68</f>
        <v>176526182.16</v>
      </c>
      <c r="I68" s="21"/>
      <c r="J68" s="31">
        <f>+H68/F68</f>
        <v>2.8018031184189214</v>
      </c>
    </row>
    <row r="69" spans="1:10" ht="15">
      <c r="A69" s="23"/>
      <c r="B69" s="18"/>
      <c r="C69" s="24"/>
      <c r="D69" s="18"/>
      <c r="E69" s="24"/>
      <c r="F69" s="18"/>
      <c r="G69" s="18"/>
      <c r="H69" s="18"/>
      <c r="I69" s="18"/>
      <c r="J69" s="93"/>
    </row>
    <row r="70" spans="1:10" ht="15">
      <c r="A70" s="23"/>
      <c r="B70" s="21" t="s">
        <v>206</v>
      </c>
      <c r="C70" s="24"/>
      <c r="D70" s="18"/>
      <c r="E70" s="24"/>
      <c r="F70" s="18"/>
      <c r="G70" s="18"/>
      <c r="H70" s="18"/>
      <c r="I70" s="18"/>
      <c r="J70" s="93"/>
    </row>
    <row r="71" spans="1:10" ht="15">
      <c r="A71" s="23"/>
      <c r="B71" s="18" t="s">
        <v>238</v>
      </c>
      <c r="C71" s="24"/>
      <c r="D71" s="17">
        <v>202977884</v>
      </c>
      <c r="E71" s="24"/>
      <c r="F71" s="144">
        <v>182327561</v>
      </c>
      <c r="G71" s="18"/>
      <c r="H71" s="77">
        <f>+D71-F71</f>
        <v>20650323</v>
      </c>
      <c r="I71" s="18"/>
      <c r="J71" s="29">
        <f>+H71/F71</f>
        <v>0.11325947040996177</v>
      </c>
    </row>
    <row r="72" spans="1:10" ht="15">
      <c r="A72" s="23"/>
      <c r="B72" s="33" t="s">
        <v>239</v>
      </c>
      <c r="C72" s="24"/>
      <c r="D72" s="17">
        <v>228002389</v>
      </c>
      <c r="E72" s="24"/>
      <c r="F72" s="144">
        <v>225954689.31</v>
      </c>
      <c r="G72" s="18"/>
      <c r="H72" s="77">
        <f>+D72-F72</f>
        <v>2047699.6899999976</v>
      </c>
      <c r="I72" s="18"/>
      <c r="J72" s="29">
        <f>+H72/F72</f>
        <v>0.009062435022937907</v>
      </c>
    </row>
    <row r="73" spans="1:10" ht="15">
      <c r="A73" s="23"/>
      <c r="B73" s="18" t="s">
        <v>173</v>
      </c>
      <c r="C73" s="24"/>
      <c r="D73" s="17">
        <f>+'IG DICIEMBRE '!F224</f>
        <v>162690874.66</v>
      </c>
      <c r="E73" s="24"/>
      <c r="F73" s="144">
        <v>29532071</v>
      </c>
      <c r="G73" s="18"/>
      <c r="H73" s="77">
        <f>+D73-F73</f>
        <v>133158803.66</v>
      </c>
      <c r="I73" s="18"/>
      <c r="J73" s="29">
        <f>+H73/F73</f>
        <v>4.508955828394154</v>
      </c>
    </row>
    <row r="74" spans="1:10" ht="15">
      <c r="A74" s="23"/>
      <c r="B74" s="33" t="s">
        <v>253</v>
      </c>
      <c r="C74" s="24"/>
      <c r="D74" s="16">
        <f>+'IG DICIEMBRE '!F220</f>
        <v>2835897.15</v>
      </c>
      <c r="E74" s="24"/>
      <c r="F74" s="114">
        <f>6977802-801123.37</f>
        <v>6176678.63</v>
      </c>
      <c r="G74" s="18"/>
      <c r="H74" s="76">
        <f>+D74-F74</f>
        <v>-3340781.48</v>
      </c>
      <c r="I74" s="18"/>
      <c r="J74" s="30">
        <f>+H74/F74</f>
        <v>-0.5408702119896434</v>
      </c>
    </row>
    <row r="75" spans="1:10" ht="15">
      <c r="A75" s="23"/>
      <c r="B75" s="18"/>
      <c r="C75" s="24"/>
      <c r="D75" s="18"/>
      <c r="E75" s="24"/>
      <c r="F75" s="18"/>
      <c r="G75" s="18"/>
      <c r="H75" s="18"/>
      <c r="I75" s="18"/>
      <c r="J75" s="93"/>
    </row>
    <row r="76" spans="1:10" ht="15">
      <c r="A76" s="23"/>
      <c r="B76" s="21" t="s">
        <v>317</v>
      </c>
      <c r="C76" s="24"/>
      <c r="D76" s="35">
        <f>SUM(D71:D75)</f>
        <v>596507044.81</v>
      </c>
      <c r="E76" s="24"/>
      <c r="F76" s="35">
        <f>SUM(F71:F75)</f>
        <v>443990999.94</v>
      </c>
      <c r="G76" s="35"/>
      <c r="H76" s="35">
        <f>+D76-F76</f>
        <v>152516044.86999995</v>
      </c>
      <c r="I76" s="18"/>
      <c r="J76" s="31">
        <f>+H76/F76</f>
        <v>0.3435115686818216</v>
      </c>
    </row>
    <row r="77" spans="1:10" ht="15">
      <c r="A77" s="23"/>
      <c r="B77" s="18"/>
      <c r="C77" s="24"/>
      <c r="D77" s="18"/>
      <c r="E77" s="24"/>
      <c r="F77" s="18"/>
      <c r="G77" s="18"/>
      <c r="H77" s="18"/>
      <c r="I77" s="18"/>
      <c r="J77" s="93"/>
    </row>
    <row r="78" spans="1:10" ht="15">
      <c r="A78" s="23"/>
      <c r="B78" s="21" t="s">
        <v>571</v>
      </c>
      <c r="C78" s="24"/>
      <c r="D78" s="35">
        <f>+D68-D76</f>
        <v>-356976370.65</v>
      </c>
      <c r="E78" s="24"/>
      <c r="F78" s="35">
        <f>+F68-F76</f>
        <v>-380986507.94</v>
      </c>
      <c r="G78" s="35"/>
      <c r="H78" s="35">
        <f>+D78-F78</f>
        <v>24010137.29000002</v>
      </c>
      <c r="I78" s="18"/>
      <c r="J78" s="31">
        <f>+H78/F78</f>
        <v>-0.0630209647575795</v>
      </c>
    </row>
    <row r="79" spans="1:10" ht="15">
      <c r="A79" s="23"/>
      <c r="B79" s="18"/>
      <c r="C79" s="24"/>
      <c r="D79" s="18"/>
      <c r="E79" s="24"/>
      <c r="F79" s="18"/>
      <c r="G79" s="18"/>
      <c r="H79" s="18"/>
      <c r="I79" s="18"/>
      <c r="J79" s="93"/>
    </row>
    <row r="80" spans="1:10" ht="15">
      <c r="A80" s="23"/>
      <c r="B80" s="21" t="s">
        <v>460</v>
      </c>
      <c r="C80" s="24"/>
      <c r="D80" s="18"/>
      <c r="E80" s="24"/>
      <c r="F80" s="18"/>
      <c r="G80" s="18"/>
      <c r="H80" s="18"/>
      <c r="I80" s="18"/>
      <c r="J80" s="93"/>
    </row>
    <row r="81" spans="1:10" ht="15">
      <c r="A81" s="23"/>
      <c r="B81" s="18" t="s">
        <v>560</v>
      </c>
      <c r="C81" s="24"/>
      <c r="D81" s="77">
        <f>+'IG DICIEMBRE '!F169+'IG DICIEMBRE '!F165+12000000</f>
        <v>124489248</v>
      </c>
      <c r="E81" s="24"/>
      <c r="F81" s="77">
        <v>83226000</v>
      </c>
      <c r="G81" s="77"/>
      <c r="H81" s="77">
        <f>+D81-F81</f>
        <v>41263248</v>
      </c>
      <c r="I81" s="18"/>
      <c r="J81" s="29">
        <f>+H81/F81</f>
        <v>0.4957975632614808</v>
      </c>
    </row>
    <row r="82" spans="1:10" ht="15">
      <c r="A82" s="23"/>
      <c r="B82" s="444" t="s">
        <v>547</v>
      </c>
      <c r="C82" s="260"/>
      <c r="D82" s="77">
        <f>+'IG DICIEMBRE '!F237</f>
        <v>693466975</v>
      </c>
      <c r="E82" s="260"/>
      <c r="F82" s="77"/>
      <c r="G82" s="77"/>
      <c r="H82" s="77"/>
      <c r="I82" s="18"/>
      <c r="J82" s="104"/>
    </row>
    <row r="83" spans="1:10" ht="15">
      <c r="A83" s="23"/>
      <c r="B83" s="444"/>
      <c r="C83" s="260"/>
      <c r="D83" s="77"/>
      <c r="E83" s="260"/>
      <c r="F83" s="77"/>
      <c r="G83" s="77"/>
      <c r="H83" s="77"/>
      <c r="I83" s="18"/>
      <c r="J83" s="104"/>
    </row>
    <row r="84" spans="1:10" ht="15">
      <c r="A84" s="23"/>
      <c r="B84" s="254" t="s">
        <v>572</v>
      </c>
      <c r="C84" s="260"/>
      <c r="D84" s="35">
        <f>SUM(D81:D83)</f>
        <v>817956223</v>
      </c>
      <c r="E84" s="35">
        <f aca="true" t="shared" si="3" ref="E84:J84">SUM(E81:E83)</f>
        <v>0</v>
      </c>
      <c r="F84" s="35">
        <f t="shared" si="3"/>
        <v>83226000</v>
      </c>
      <c r="G84" s="35">
        <f t="shared" si="3"/>
        <v>0</v>
      </c>
      <c r="H84" s="35">
        <f t="shared" si="3"/>
        <v>41263248</v>
      </c>
      <c r="I84" s="35">
        <f t="shared" si="3"/>
        <v>0</v>
      </c>
      <c r="J84" s="35">
        <f t="shared" si="3"/>
        <v>0.4957975632614808</v>
      </c>
    </row>
    <row r="85" spans="1:10" ht="15">
      <c r="A85" s="23"/>
      <c r="B85" s="18"/>
      <c r="C85" s="260"/>
      <c r="D85" s="77"/>
      <c r="E85" s="260"/>
      <c r="F85" s="77"/>
      <c r="G85" s="77"/>
      <c r="H85" s="77"/>
      <c r="I85" s="18"/>
      <c r="J85" s="104"/>
    </row>
    <row r="86" spans="1:10" ht="15">
      <c r="A86" s="23"/>
      <c r="B86" s="254" t="s">
        <v>573</v>
      </c>
      <c r="C86" s="260"/>
      <c r="D86" s="77"/>
      <c r="E86" s="260"/>
      <c r="F86" s="77"/>
      <c r="G86" s="77"/>
      <c r="H86" s="77"/>
      <c r="I86" s="18"/>
      <c r="J86" s="104"/>
    </row>
    <row r="87" spans="1:10" ht="15">
      <c r="A87" s="23"/>
      <c r="B87" s="18" t="s">
        <v>560</v>
      </c>
      <c r="C87" s="260"/>
      <c r="D87" s="77">
        <f>-'IG DICIEMBRE '!F223</f>
        <v>-118829869</v>
      </c>
      <c r="E87" s="260"/>
      <c r="F87" s="77">
        <f>-76949312-180</f>
        <v>-76949492</v>
      </c>
      <c r="G87" s="77"/>
      <c r="H87" s="77">
        <f>+D87-F87</f>
        <v>-41880377</v>
      </c>
      <c r="I87" s="18"/>
      <c r="J87" s="104">
        <f>+H87/F87</f>
        <v>0.5442580049781225</v>
      </c>
    </row>
    <row r="88" spans="1:10" ht="15">
      <c r="A88" s="23"/>
      <c r="B88" s="444" t="s">
        <v>547</v>
      </c>
      <c r="C88" s="260"/>
      <c r="D88" s="77">
        <f>-'IG DICIEMBRE '!F241-2912770</f>
        <v>-689950110</v>
      </c>
      <c r="E88" s="260"/>
      <c r="F88" s="77"/>
      <c r="G88" s="77"/>
      <c r="H88" s="77"/>
      <c r="I88" s="18"/>
      <c r="J88" s="104"/>
    </row>
    <row r="89" spans="1:10" ht="15">
      <c r="A89" s="23"/>
      <c r="B89" s="444"/>
      <c r="C89" s="260"/>
      <c r="D89" s="77"/>
      <c r="E89" s="260"/>
      <c r="F89" s="77"/>
      <c r="G89" s="77"/>
      <c r="H89" s="77"/>
      <c r="I89" s="18"/>
      <c r="J89" s="104"/>
    </row>
    <row r="90" spans="1:10" ht="15">
      <c r="A90" s="23"/>
      <c r="B90" s="254" t="s">
        <v>574</v>
      </c>
      <c r="C90" s="260"/>
      <c r="D90" s="35">
        <f>SUM(D87:D89)</f>
        <v>-808779979</v>
      </c>
      <c r="E90" s="35">
        <f aca="true" t="shared" si="4" ref="E90:J90">SUM(E87:E89)</f>
        <v>0</v>
      </c>
      <c r="F90" s="35">
        <f t="shared" si="4"/>
        <v>-76949492</v>
      </c>
      <c r="G90" s="35">
        <f t="shared" si="4"/>
        <v>0</v>
      </c>
      <c r="H90" s="35">
        <f t="shared" si="4"/>
        <v>-41880377</v>
      </c>
      <c r="I90" s="35">
        <f t="shared" si="4"/>
        <v>0</v>
      </c>
      <c r="J90" s="35">
        <f t="shared" si="4"/>
        <v>0.5442580049781225</v>
      </c>
    </row>
    <row r="91" spans="1:10" ht="15">
      <c r="A91" s="23"/>
      <c r="B91" s="18"/>
      <c r="C91" s="260"/>
      <c r="D91" s="77"/>
      <c r="E91" s="260"/>
      <c r="F91" s="77"/>
      <c r="G91" s="77"/>
      <c r="H91" s="77"/>
      <c r="I91" s="18"/>
      <c r="J91" s="104"/>
    </row>
    <row r="92" spans="1:10" ht="15">
      <c r="A92" s="23"/>
      <c r="B92" s="21" t="s">
        <v>570</v>
      </c>
      <c r="C92" s="260"/>
      <c r="D92" s="35">
        <f>+D84+D90</f>
        <v>9176244</v>
      </c>
      <c r="E92" s="35">
        <f aca="true" t="shared" si="5" ref="E92:J92">+E84+E90</f>
        <v>0</v>
      </c>
      <c r="F92" s="35">
        <f t="shared" si="5"/>
        <v>6276508</v>
      </c>
      <c r="G92" s="35">
        <f t="shared" si="5"/>
        <v>0</v>
      </c>
      <c r="H92" s="35">
        <f t="shared" si="5"/>
        <v>-617129</v>
      </c>
      <c r="I92" s="35">
        <f t="shared" si="5"/>
        <v>0</v>
      </c>
      <c r="J92" s="35">
        <f t="shared" si="5"/>
        <v>1.0400555682396033</v>
      </c>
    </row>
    <row r="93" spans="1:10" ht="15">
      <c r="A93" s="23"/>
      <c r="B93" s="18"/>
      <c r="C93" s="24"/>
      <c r="D93" s="18"/>
      <c r="E93" s="24"/>
      <c r="F93" s="18"/>
      <c r="G93" s="18"/>
      <c r="H93" s="18"/>
      <c r="I93" s="18"/>
      <c r="J93" s="93"/>
    </row>
    <row r="94" spans="1:10" ht="15">
      <c r="A94" s="23"/>
      <c r="B94" s="21" t="s">
        <v>319</v>
      </c>
      <c r="C94" s="24"/>
      <c r="D94" s="18"/>
      <c r="E94" s="24"/>
      <c r="F94" s="18"/>
      <c r="G94" s="18"/>
      <c r="H94" s="18"/>
      <c r="I94" s="18"/>
      <c r="J94" s="93"/>
    </row>
    <row r="95" spans="1:14" ht="15">
      <c r="A95" s="23"/>
      <c r="B95" s="18" t="s">
        <v>320</v>
      </c>
      <c r="C95" s="24"/>
      <c r="D95" s="77">
        <f>17487959-78</f>
        <v>17487881</v>
      </c>
      <c r="E95" s="24"/>
      <c r="F95" s="77">
        <v>28883164</v>
      </c>
      <c r="G95" s="77"/>
      <c r="H95" s="77">
        <f>+D95-F95</f>
        <v>-11395283</v>
      </c>
      <c r="I95" s="18"/>
      <c r="J95" s="29">
        <f>+H95/F95</f>
        <v>-0.39453028760976466</v>
      </c>
      <c r="L95" s="12"/>
      <c r="M95" s="301"/>
      <c r="N95" s="14"/>
    </row>
    <row r="96" spans="1:14" ht="15">
      <c r="A96" s="23"/>
      <c r="B96" s="18"/>
      <c r="C96" s="476"/>
      <c r="D96" s="77"/>
      <c r="E96" s="476"/>
      <c r="F96" s="77"/>
      <c r="G96" s="77"/>
      <c r="H96" s="77"/>
      <c r="I96" s="18"/>
      <c r="J96" s="104"/>
      <c r="L96" s="12"/>
      <c r="M96" s="301"/>
      <c r="N96" s="14"/>
    </row>
    <row r="97" spans="1:10" ht="15">
      <c r="A97" s="23"/>
      <c r="B97" s="21" t="s">
        <v>321</v>
      </c>
      <c r="C97" s="24"/>
      <c r="D97" s="35">
        <f>17487959-78</f>
        <v>17487881</v>
      </c>
      <c r="E97" s="24"/>
      <c r="F97" s="35">
        <f>SUM(F95:F95)</f>
        <v>28883164</v>
      </c>
      <c r="G97" s="35"/>
      <c r="H97" s="35">
        <f>+D97-F97</f>
        <v>-11395283</v>
      </c>
      <c r="I97" s="21"/>
      <c r="J97" s="31">
        <f>+H97/F97</f>
        <v>-0.39453028760976466</v>
      </c>
    </row>
    <row r="98" spans="1:10" ht="15">
      <c r="A98" s="23"/>
      <c r="B98" s="18"/>
      <c r="C98" s="24"/>
      <c r="D98" s="18"/>
      <c r="E98" s="24"/>
      <c r="F98" s="18"/>
      <c r="G98" s="18"/>
      <c r="H98" s="18"/>
      <c r="I98" s="18"/>
      <c r="J98" s="93"/>
    </row>
    <row r="99" spans="1:10" ht="15">
      <c r="A99" s="23"/>
      <c r="B99" s="21" t="s">
        <v>244</v>
      </c>
      <c r="C99" s="24"/>
      <c r="D99" s="35">
        <f>-D97</f>
        <v>-17487881</v>
      </c>
      <c r="E99" s="35">
        <f>-E97</f>
        <v>0</v>
      </c>
      <c r="F99" s="35">
        <f>-F97</f>
        <v>-28883164</v>
      </c>
      <c r="G99" s="35"/>
      <c r="H99" s="35">
        <f>+D99-F99</f>
        <v>11395283</v>
      </c>
      <c r="I99" s="21"/>
      <c r="J99" s="31">
        <f>+H99/F99</f>
        <v>-0.39453028760976466</v>
      </c>
    </row>
    <row r="100" spans="1:10" ht="15">
      <c r="A100" s="23"/>
      <c r="B100" s="18"/>
      <c r="C100" s="24"/>
      <c r="D100" s="18"/>
      <c r="E100" s="24"/>
      <c r="F100" s="18"/>
      <c r="G100" s="18"/>
      <c r="H100" s="18"/>
      <c r="I100" s="18"/>
      <c r="J100" s="93"/>
    </row>
    <row r="101" spans="1:10" ht="15">
      <c r="A101" s="23"/>
      <c r="B101" s="21" t="s">
        <v>322</v>
      </c>
      <c r="C101" s="24"/>
      <c r="D101" s="35">
        <f>+D31+D58+D78+D92+D99</f>
        <v>35843563.26999962</v>
      </c>
      <c r="E101" s="35">
        <f>+E31+E58+E78+E92+E99</f>
        <v>0</v>
      </c>
      <c r="F101" s="35">
        <f>+F31+F58+F78+F92+F99</f>
        <v>47565736.789999425</v>
      </c>
      <c r="G101" s="35">
        <f>+G31+G58+G78+G92+G99</f>
        <v>0</v>
      </c>
      <c r="H101" s="35">
        <f>+H31+H58+H78+H92+H99</f>
        <v>-15239038.519999772</v>
      </c>
      <c r="I101" s="21"/>
      <c r="J101" s="31">
        <f>+H101/F101</f>
        <v>-0.3203784814115134</v>
      </c>
    </row>
    <row r="102" spans="1:10" ht="15">
      <c r="A102" s="23"/>
      <c r="B102" s="18"/>
      <c r="C102" s="24"/>
      <c r="D102" s="24"/>
      <c r="E102" s="24"/>
      <c r="F102" s="77"/>
      <c r="G102" s="18"/>
      <c r="H102" s="18"/>
      <c r="I102" s="18"/>
      <c r="J102" s="93"/>
    </row>
    <row r="103" spans="1:10" ht="15">
      <c r="A103" s="23"/>
      <c r="B103" s="18"/>
      <c r="C103" s="24"/>
      <c r="D103" s="24"/>
      <c r="E103" s="24"/>
      <c r="F103" s="300"/>
      <c r="G103" s="18"/>
      <c r="H103" s="18"/>
      <c r="I103" s="18"/>
      <c r="J103" s="93"/>
    </row>
    <row r="104" spans="1:10" ht="15">
      <c r="A104" s="23"/>
      <c r="B104" s="18"/>
      <c r="C104" s="24"/>
      <c r="D104" s="24"/>
      <c r="E104" s="24"/>
      <c r="F104" s="18"/>
      <c r="G104" s="18"/>
      <c r="H104" s="18"/>
      <c r="I104" s="18"/>
      <c r="J104" s="93"/>
    </row>
    <row r="105" spans="1:10" ht="15">
      <c r="A105" s="23"/>
      <c r="B105" s="18"/>
      <c r="C105" s="24"/>
      <c r="D105" s="24"/>
      <c r="E105" s="24"/>
      <c r="F105" s="18"/>
      <c r="G105" s="18"/>
      <c r="H105" s="18"/>
      <c r="I105" s="18"/>
      <c r="J105" s="93"/>
    </row>
    <row r="106" spans="1:10" ht="15">
      <c r="A106" s="23"/>
      <c r="B106" s="21" t="s">
        <v>112</v>
      </c>
      <c r="C106" s="24"/>
      <c r="D106" s="492" t="s">
        <v>112</v>
      </c>
      <c r="E106" s="492"/>
      <c r="F106" s="492"/>
      <c r="G106" s="18"/>
      <c r="H106" s="487" t="s">
        <v>112</v>
      </c>
      <c r="I106" s="487"/>
      <c r="J106" s="488"/>
    </row>
    <row r="107" spans="1:10" ht="15">
      <c r="A107" s="23"/>
      <c r="B107" s="21" t="s">
        <v>113</v>
      </c>
      <c r="C107" s="24"/>
      <c r="D107" s="492" t="s">
        <v>115</v>
      </c>
      <c r="E107" s="492"/>
      <c r="F107" s="492"/>
      <c r="G107" s="18"/>
      <c r="H107" s="487" t="s">
        <v>118</v>
      </c>
      <c r="I107" s="487"/>
      <c r="J107" s="488"/>
    </row>
    <row r="108" spans="1:10" ht="15">
      <c r="A108" s="23"/>
      <c r="B108" s="21" t="s">
        <v>114</v>
      </c>
      <c r="C108" s="24"/>
      <c r="D108" s="492" t="s">
        <v>116</v>
      </c>
      <c r="E108" s="492"/>
      <c r="F108" s="492"/>
      <c r="G108" s="18"/>
      <c r="H108" s="487" t="s">
        <v>119</v>
      </c>
      <c r="I108" s="487"/>
      <c r="J108" s="488"/>
    </row>
    <row r="109" spans="1:10" ht="15">
      <c r="A109" s="23"/>
      <c r="B109" s="18"/>
      <c r="C109" s="24"/>
      <c r="D109" s="21" t="s">
        <v>117</v>
      </c>
      <c r="E109" s="18"/>
      <c r="F109" s="17"/>
      <c r="G109" s="18"/>
      <c r="H109" s="21" t="s">
        <v>120</v>
      </c>
      <c r="I109" s="36"/>
      <c r="J109" s="37"/>
    </row>
    <row r="110" spans="1:10" ht="15">
      <c r="A110" s="23"/>
      <c r="B110" s="18"/>
      <c r="C110" s="24"/>
      <c r="D110" s="18"/>
      <c r="E110" s="18"/>
      <c r="F110" s="17"/>
      <c r="G110" s="18"/>
      <c r="H110" s="20" t="s">
        <v>121</v>
      </c>
      <c r="I110" s="18"/>
      <c r="J110" s="26"/>
    </row>
    <row r="111" spans="1:10" ht="15.75" thickBot="1">
      <c r="A111" s="38"/>
      <c r="B111" s="39"/>
      <c r="C111" s="40"/>
      <c r="D111" s="40"/>
      <c r="E111" s="40"/>
      <c r="F111" s="39"/>
      <c r="G111" s="39"/>
      <c r="H111" s="39"/>
      <c r="I111" s="39"/>
      <c r="J111" s="95"/>
    </row>
  </sheetData>
  <sheetProtection/>
  <mergeCells count="9">
    <mergeCell ref="D108:F108"/>
    <mergeCell ref="H108:J108"/>
    <mergeCell ref="B1:J1"/>
    <mergeCell ref="B2:J2"/>
    <mergeCell ref="B3:J3"/>
    <mergeCell ref="D106:F106"/>
    <mergeCell ref="H106:J106"/>
    <mergeCell ref="D107:F107"/>
    <mergeCell ref="H107:J107"/>
  </mergeCells>
  <printOptions horizontalCentered="1" verticalCentered="1"/>
  <pageMargins left="0.7086614173228347" right="0.7086614173228347" top="0.7480314960629921" bottom="1.7322834645669292" header="0.31496062992125984" footer="0.31496062992125984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Full name</dc:creator>
  <cp:keywords/>
  <dc:description/>
  <cp:lastModifiedBy>Acer pc</cp:lastModifiedBy>
  <cp:lastPrinted>2017-03-10T19:44:37Z</cp:lastPrinted>
  <dcterms:created xsi:type="dcterms:W3CDTF">2015-02-17T20:37:08Z</dcterms:created>
  <dcterms:modified xsi:type="dcterms:W3CDTF">2017-03-10T22:33:50Z</dcterms:modified>
  <cp:category/>
  <cp:version/>
  <cp:contentType/>
  <cp:contentStatus/>
</cp:coreProperties>
</file>